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drawings/drawing3.xml" ContentType="application/vnd.openxmlformats-officedocument.drawing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Αυτό_το_βιβλίο_εργασίας"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8256274E-FFF4-4845-B78C-34EA713C0299}" xr6:coauthVersionLast="47" xr6:coauthVersionMax="47" xr10:uidLastSave="{00000000-0000-0000-0000-000000000000}"/>
  <bookViews>
    <workbookView xWindow="-108" yWindow="-108" windowWidth="30936" windowHeight="17040" activeTab="2" xr2:uid="{00000000-000D-0000-FFFF-FFFF00000000}"/>
  </bookViews>
  <sheets>
    <sheet name="Total Repair Cost Factor (Nunn)" sheetId="4" r:id="rId1"/>
    <sheet name="HOURLY COST (1st METHOD)" sheetId="2" r:id="rId2"/>
    <sheet name="HOURLY COST (2nd METHOD)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4" i="3" l="1"/>
  <c r="T14" i="3"/>
  <c r="R30" i="3"/>
  <c r="H28" i="3"/>
  <c r="H28" i="2"/>
  <c r="F21" i="4" l="1"/>
  <c r="F20" i="4"/>
  <c r="F19" i="4"/>
  <c r="F18" i="4"/>
  <c r="F16" i="4"/>
  <c r="F15" i="4"/>
  <c r="F14" i="4"/>
  <c r="E21" i="4"/>
  <c r="E20" i="4"/>
  <c r="E19" i="4"/>
  <c r="E18" i="4"/>
  <c r="E16" i="4"/>
  <c r="E15" i="4"/>
  <c r="D21" i="4"/>
  <c r="D20" i="4"/>
  <c r="D19" i="4"/>
  <c r="D18" i="4"/>
  <c r="D16" i="4"/>
  <c r="D15" i="4"/>
  <c r="C30" i="2"/>
  <c r="C29" i="2"/>
  <c r="C28" i="2"/>
  <c r="E14" i="4" l="1"/>
  <c r="D14" i="4"/>
  <c r="F13" i="4"/>
  <c r="E13" i="4"/>
  <c r="D13" i="4"/>
  <c r="F11" i="4"/>
  <c r="E11" i="4"/>
  <c r="D11" i="4"/>
  <c r="F10" i="4"/>
  <c r="E10" i="4"/>
  <c r="D10" i="4"/>
  <c r="F9" i="4"/>
  <c r="E9" i="4"/>
  <c r="D9" i="4"/>
  <c r="F8" i="4"/>
  <c r="E8" i="4"/>
  <c r="D8" i="4"/>
  <c r="D23" i="4" l="1"/>
  <c r="E23" i="4"/>
  <c r="F23" i="4"/>
  <c r="D22" i="4" l="1"/>
  <c r="E22" i="4"/>
  <c r="F22" i="4" s="1"/>
  <c r="G22" i="4" l="1"/>
  <c r="E24" i="3" s="1"/>
  <c r="C30" i="3"/>
  <c r="C29" i="3"/>
  <c r="C28" i="3"/>
  <c r="E28" i="2" l="1"/>
  <c r="E28" i="3"/>
  <c r="E24" i="2"/>
  <c r="R30" i="2" s="1"/>
  <c r="W17" i="3"/>
  <c r="W16" i="3"/>
  <c r="T16" i="3"/>
  <c r="W17" i="2"/>
  <c r="W16" i="2"/>
  <c r="T16" i="2"/>
  <c r="G24" i="2" l="1"/>
  <c r="D24" i="2"/>
  <c r="G24" i="3"/>
  <c r="D24" i="3"/>
  <c r="J28" i="3" l="1"/>
  <c r="L24" i="3"/>
  <c r="O24" i="3" s="1"/>
  <c r="P24" i="3" s="1"/>
  <c r="L23" i="3"/>
  <c r="O23" i="3" s="1"/>
  <c r="P23" i="3" s="1"/>
  <c r="L22" i="3"/>
  <c r="O22" i="3" s="1"/>
  <c r="P22" i="3" s="1"/>
  <c r="L21" i="3"/>
  <c r="O21" i="3" s="1"/>
  <c r="P21" i="3" s="1"/>
  <c r="L20" i="3"/>
  <c r="O20" i="3" s="1"/>
  <c r="P20" i="3" s="1"/>
  <c r="L19" i="3"/>
  <c r="O19" i="3" s="1"/>
  <c r="P19" i="3" s="1"/>
  <c r="L18" i="3"/>
  <c r="O18" i="3" s="1"/>
  <c r="P18" i="3" s="1"/>
  <c r="L17" i="3"/>
  <c r="O17" i="3" s="1"/>
  <c r="P17" i="3" s="1"/>
  <c r="L16" i="3"/>
  <c r="O16" i="3" s="1"/>
  <c r="P16" i="3" s="1"/>
  <c r="L15" i="3"/>
  <c r="O15" i="3" s="1"/>
  <c r="P15" i="3" s="1"/>
  <c r="L14" i="3"/>
  <c r="O14" i="3" s="1"/>
  <c r="P14" i="3" s="1"/>
  <c r="I14" i="3"/>
  <c r="R14" i="3" s="1"/>
  <c r="F24" i="3" l="1"/>
  <c r="H24" i="3" s="1"/>
  <c r="L28" i="3"/>
  <c r="Q14" i="3"/>
  <c r="U28" i="3" s="1"/>
  <c r="V28" i="3" s="1"/>
  <c r="S14" i="3"/>
  <c r="S28" i="3" s="1"/>
  <c r="L24" i="2"/>
  <c r="O24" i="2" s="1"/>
  <c r="P24" i="2" s="1"/>
  <c r="L23" i="2"/>
  <c r="O23" i="2" s="1"/>
  <c r="P23" i="2" s="1"/>
  <c r="L22" i="2"/>
  <c r="O22" i="2" s="1"/>
  <c r="P22" i="2" s="1"/>
  <c r="L21" i="2"/>
  <c r="O21" i="2" s="1"/>
  <c r="P21" i="2" s="1"/>
  <c r="L20" i="2"/>
  <c r="O20" i="2" s="1"/>
  <c r="P20" i="2" s="1"/>
  <c r="L19" i="2"/>
  <c r="O19" i="2" s="1"/>
  <c r="P19" i="2" s="1"/>
  <c r="L18" i="2"/>
  <c r="O18" i="2" s="1"/>
  <c r="P18" i="2" s="1"/>
  <c r="L17" i="2"/>
  <c r="O17" i="2" s="1"/>
  <c r="P17" i="2" s="1"/>
  <c r="L16" i="2"/>
  <c r="O16" i="2" s="1"/>
  <c r="P16" i="2" s="1"/>
  <c r="L15" i="2"/>
  <c r="O15" i="2" s="1"/>
  <c r="P15" i="2" s="1"/>
  <c r="L14" i="2"/>
  <c r="O14" i="2" s="1"/>
  <c r="P14" i="2" s="1"/>
  <c r="Y28" i="3" l="1"/>
  <c r="V14" i="3"/>
  <c r="T28" i="3"/>
  <c r="X28" i="3" s="1"/>
  <c r="Q14" i="2"/>
  <c r="U28" i="2" s="1"/>
  <c r="V28" i="2" s="1"/>
  <c r="J28" i="2"/>
  <c r="L28" i="2" s="1"/>
  <c r="I14" i="2"/>
  <c r="R14" i="2" s="1"/>
  <c r="F24" i="2" s="1"/>
  <c r="H24" i="2" s="1"/>
  <c r="C34" i="3" l="1"/>
  <c r="Y28" i="2"/>
  <c r="C32" i="3"/>
  <c r="T14" i="2"/>
  <c r="V14" i="2" s="1"/>
  <c r="S14" i="2"/>
  <c r="S28" i="2" l="1"/>
  <c r="T28" i="2" s="1"/>
  <c r="X28" i="2" s="1"/>
  <c r="H33" i="3"/>
  <c r="W14" i="2"/>
  <c r="X14" i="2" s="1"/>
  <c r="C32" i="2" l="1"/>
  <c r="C34" i="2"/>
  <c r="H33" i="2" l="1"/>
</calcChain>
</file>

<file path=xl/sharedStrings.xml><?xml version="1.0" encoding="utf-8"?>
<sst xmlns="http://schemas.openxmlformats.org/spreadsheetml/2006/main" count="340" uniqueCount="143">
  <si>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</si>
  <si>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</si>
  <si>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</si>
  <si>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</si>
  <si>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</si>
  <si>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</si>
  <si>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</si>
  <si>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</si>
  <si>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</si>
  <si>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</si>
  <si>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</si>
  <si>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</si>
  <si>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</si>
  <si>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</si>
  <si>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</si>
  <si>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</si>
  <si>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€/hr</t>
  </si>
  <si>
    <t>(17)</t>
  </si>
  <si>
    <t>(18)</t>
  </si>
  <si>
    <t>(5) + (6)</t>
  </si>
  <si>
    <t>P :</t>
  </si>
  <si>
    <t>S :</t>
  </si>
  <si>
    <t>n :</t>
  </si>
  <si>
    <t>Κάνοντας χρήση των παρακάτω εξισώσεων για το Ετήσιο Κόστος Επένδυσης :</t>
  </si>
  <si>
    <t>και</t>
  </si>
  <si>
    <t>F :</t>
  </si>
  <si>
    <t>Α :</t>
  </si>
  <si>
    <t>•</t>
  </si>
  <si>
    <t>Favorable</t>
  </si>
  <si>
    <t>Average</t>
  </si>
  <si>
    <t>Severe</t>
  </si>
  <si>
    <t>Clamshell and dragline</t>
  </si>
  <si>
    <t>Compactor, self-propelled</t>
  </si>
  <si>
    <t>Crane</t>
  </si>
  <si>
    <t>Excavator, hoe, or shovel</t>
  </si>
  <si>
    <t>Loader</t>
  </si>
  <si>
    <t>Motor grader</t>
  </si>
  <si>
    <t>Scraper</t>
  </si>
  <si>
    <t>Tractor</t>
  </si>
  <si>
    <t>Truck, off-highway</t>
  </si>
  <si>
    <t>Wagon</t>
  </si>
  <si>
    <t xml:space="preserve">     Track</t>
  </si>
  <si>
    <t xml:space="preserve">     Wheel</t>
  </si>
  <si>
    <t xml:space="preserve">     Crawler</t>
  </si>
  <si>
    <t>Macinery Type</t>
  </si>
  <si>
    <t>Choice</t>
  </si>
  <si>
    <t>Working Conditions</t>
  </si>
  <si>
    <t>TOTAL HOURLY COST CALCULATOR FOR CONSTRUCTION MACHINERY</t>
  </si>
  <si>
    <t>Depreciation Cost</t>
  </si>
  <si>
    <t>Investment Cost</t>
  </si>
  <si>
    <t>Through the constant depreciation equation we calculate the depreciation cost :</t>
  </si>
  <si>
    <t>where :</t>
  </si>
  <si>
    <t>machinery's purchase cost</t>
  </si>
  <si>
    <t>machinery's residual value</t>
  </si>
  <si>
    <t>machinery's economic life (years)</t>
  </si>
  <si>
    <t>Where :</t>
  </si>
  <si>
    <t>Ownership Cost = Depreciation Cost + Investment Cost =</t>
  </si>
  <si>
    <t>The average annual investment cost includes the capital cost for machinery's purchase, taxes, insurances and storage expences, so :</t>
  </si>
  <si>
    <t>Average Annual Investment Cost =</t>
  </si>
  <si>
    <t>Ownership Cost Calculation</t>
  </si>
  <si>
    <t>Hourly Cost Calculation</t>
  </si>
  <si>
    <t>Operational Cost Calculation</t>
  </si>
  <si>
    <t>Capital Interest</t>
  </si>
  <si>
    <t>Useful Life</t>
  </si>
  <si>
    <t>Residual Value</t>
  </si>
  <si>
    <t>Annual Operating Hours</t>
  </si>
  <si>
    <t>Purchase Cost</t>
  </si>
  <si>
    <t>Tire Cost</t>
  </si>
  <si>
    <t>Tires Replacement Years</t>
  </si>
  <si>
    <t>Tires Life</t>
  </si>
  <si>
    <t>Tires Replacement Years Factor</t>
  </si>
  <si>
    <t>Net Acquisition</t>
  </si>
  <si>
    <t>Annual Depreciation</t>
  </si>
  <si>
    <t>Average Annual Investment Cost</t>
  </si>
  <si>
    <t>Average Annual Investment Cost Percentage</t>
  </si>
  <si>
    <t>Total Annual Ownership Cost</t>
  </si>
  <si>
    <t>Hourly Ownership Cost</t>
  </si>
  <si>
    <t>Tires Change Frequency =</t>
  </si>
  <si>
    <t>times</t>
  </si>
  <si>
    <t>every</t>
  </si>
  <si>
    <t>years</t>
  </si>
  <si>
    <t>until</t>
  </si>
  <si>
    <t>Choose years in which you are going to replace tires</t>
  </si>
  <si>
    <t>Nunnally's Maintenance/Repair Hourly Cost Calculation :</t>
  </si>
  <si>
    <t>Study Period</t>
  </si>
  <si>
    <t>Financial Years Summary</t>
  </si>
  <si>
    <t>Repair Cost Factor</t>
  </si>
  <si>
    <t>Total Maintenance Cost</t>
  </si>
  <si>
    <t>Hourly Repair Cost</t>
  </si>
  <si>
    <t>The Repair Cost Factor is determined by Nunnally's matrix</t>
  </si>
  <si>
    <t>Input</t>
  </si>
  <si>
    <t>Nunnally</t>
  </si>
  <si>
    <t>Operating Coefficient Factor (Nunnally)</t>
  </si>
  <si>
    <t>Power (HP)</t>
  </si>
  <si>
    <t>Fuel Consumption (lt/hr-hp)</t>
  </si>
  <si>
    <t>Hourly Fuel Consumption (lt/hr)</t>
  </si>
  <si>
    <t>Fuel Price (€/lt)</t>
  </si>
  <si>
    <t>Hourly Fuel Cost (€/hr)</t>
  </si>
  <si>
    <t>Hourly Lubrication Cost (€/hr)</t>
  </si>
  <si>
    <t>Annual Repair and Maintenance Cost</t>
  </si>
  <si>
    <t>Hourly Repair and Maintenance Cost</t>
  </si>
  <si>
    <t>Annual Tires Cost</t>
  </si>
  <si>
    <t>Hourly Tires Cost</t>
  </si>
  <si>
    <t>Operator Cost</t>
  </si>
  <si>
    <t>Hourly Operational Cost</t>
  </si>
  <si>
    <t>Hourly Operational Cost (Nunnally)</t>
  </si>
  <si>
    <t>Total Hourly Cost</t>
  </si>
  <si>
    <t>Total Hourly Cost (Nunnally)</t>
  </si>
  <si>
    <t>Deviation</t>
  </si>
  <si>
    <t>Definitions</t>
  </si>
  <si>
    <t>Ownership Cost</t>
  </si>
  <si>
    <t>Depreciation</t>
  </si>
  <si>
    <t>Operational Cost</t>
  </si>
  <si>
    <t>Hourly Cost</t>
  </si>
  <si>
    <t>Capital Cost</t>
  </si>
  <si>
    <t>Is determined by the interest rate, which is the "money rental", reduced in time unit and with percentage expression.</t>
  </si>
  <si>
    <t>The overall machinery cost, in money units per operational hour.</t>
  </si>
  <si>
    <t>The total owner's expenses, resulted by the machinery's usage. It includes :</t>
  </si>
  <si>
    <t>Fuel</t>
  </si>
  <si>
    <t>Lubricants</t>
  </si>
  <si>
    <t>Regular maintenance</t>
  </si>
  <si>
    <t>Tires</t>
  </si>
  <si>
    <t>Replacement of accessories and spare parts with extensive ware</t>
  </si>
  <si>
    <t>Operators salaries</t>
  </si>
  <si>
    <t>Purchase cost/depreciation</t>
  </si>
  <si>
    <t>Large and extensive repairs</t>
  </si>
  <si>
    <t>Taxes</t>
  </si>
  <si>
    <t>Insurances</t>
  </si>
  <si>
    <t>Storing</t>
  </si>
  <si>
    <t>It is the cost associated with construction equipment's financial analysis and not with its operation. It includes :</t>
  </si>
  <si>
    <t>The equipment owner's cash-flow result, whether it is used efficiently in projects or not.</t>
  </si>
  <si>
    <t>Includes the cost of buying the machine minus the cost of tires (if the machine has tires).</t>
  </si>
  <si>
    <t>The machine's initial value reduction, due to several damages, which must be recovered.</t>
  </si>
  <si>
    <t>The cash inflow, which a company receives when it sells a privately owned machine at the end of its economical life.</t>
  </si>
  <si>
    <t>By combining the time value of money for the purchase cost and the residual value (Column 15)</t>
  </si>
  <si>
    <t>By combining depreciation and investment cost (Column 14)</t>
  </si>
  <si>
    <t>annual investment cost</t>
  </si>
  <si>
    <t>Total Repair Cost Factor, as Percentage of the Purchase Cost (excluding tires) - Nunnally (2014)</t>
  </si>
  <si>
    <t>Transportation and Installation Cost</t>
  </si>
  <si>
    <t>Lubrication Cost    (% from Hourly Fuel Cost)</t>
  </si>
  <si>
    <t>Loading Factor</t>
  </si>
  <si>
    <t xml:space="preserve">Total Repair Cost Factor, as Percentage of the Purchase Cost (excluding tires) - Nunnally </t>
  </si>
  <si>
    <t>Fill WHITE cells with your inputs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</si>
</sst>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€&quot;"/>
  </numFmts>
  <fonts count="2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36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5" tint="0.3999755851924192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u/>
      <sz val="36"/>
      <color theme="1"/>
      <name val="Calibri"/>
      <family val="2"/>
      <charset val="161"/>
      <scheme val="minor"/>
    </font>
    <font>
      <b/>
      <sz val="36"/>
      <color theme="1"/>
      <name val="Calibri"/>
      <family val="2"/>
      <charset val="161"/>
      <scheme val="minor"/>
    </font>
    <font>
      <b/>
      <sz val="11"/>
      <color rgb="FFFFFF00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  <font>
      <b/>
      <i/>
      <sz val="16"/>
      <color theme="1"/>
      <name val="Calibri"/>
      <family val="2"/>
      <charset val="161"/>
      <scheme val="minor"/>
    </font>
    <font>
      <b/>
      <i/>
      <sz val="20"/>
      <color theme="1"/>
      <name val="Calibri"/>
      <family val="2"/>
      <charset val="161"/>
      <scheme val="minor"/>
    </font>
    <font>
      <b/>
      <i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</font>
    <font>
      <b/>
      <u/>
      <sz val="16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i/>
      <sz val="11"/>
      <color rgb="FFFFFF0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i/>
      <sz val="11"/>
      <name val="Calibri"/>
      <family val="2"/>
      <charset val="161"/>
      <scheme val="minor"/>
    </font>
    <font>
      <b/>
      <i/>
      <sz val="28"/>
      <color theme="1"/>
      <name val="Calibri"/>
      <family val="2"/>
      <charset val="161"/>
      <scheme val="minor"/>
    </font>
    <font>
      <b/>
      <i/>
      <sz val="28"/>
      <color rgb="FFCCFF33"/>
      <name val="Calibri"/>
      <family val="2"/>
      <charset val="161"/>
      <scheme val="minor"/>
    </font>
    <font>
      <b/>
      <i/>
      <sz val="26"/>
      <color rgb="FFCCFF33"/>
      <name val="Calibri"/>
      <family val="2"/>
      <charset val="161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9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</cellStyleXfs>
  <cellXfs count="36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49" fontId="1" fillId="9" borderId="16" xfId="0" applyNumberFormat="1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 wrapText="1"/>
    </xf>
    <xf numFmtId="49" fontId="1" fillId="10" borderId="16" xfId="0" applyNumberFormat="1" applyFont="1" applyFill="1" applyBorder="1" applyAlignment="1">
      <alignment horizontal="center" vertical="center" wrapText="1"/>
    </xf>
    <xf numFmtId="0" fontId="1" fillId="5" borderId="12" xfId="4" applyFont="1" applyBorder="1" applyAlignment="1">
      <alignment horizontal="center" vertical="center" wrapText="1"/>
    </xf>
    <xf numFmtId="49" fontId="1" fillId="5" borderId="16" xfId="4" applyNumberFormat="1" applyFont="1" applyBorder="1" applyAlignment="1">
      <alignment horizontal="center" vertical="center" wrapText="1"/>
    </xf>
    <xf numFmtId="164" fontId="1" fillId="5" borderId="18" xfId="4" applyNumberFormat="1" applyFont="1" applyBorder="1" applyAlignment="1">
      <alignment horizontal="center" vertical="center" wrapText="1"/>
    </xf>
    <xf numFmtId="4" fontId="3" fillId="3" borderId="20" xfId="2" applyNumberFormat="1" applyBorder="1" applyAlignment="1">
      <alignment horizontal="center" vertical="center" wrapText="1"/>
    </xf>
    <xf numFmtId="164" fontId="3" fillId="2" borderId="20" xfId="1" applyNumberFormat="1" applyBorder="1" applyAlignment="1">
      <alignment horizontal="center" vertical="center" wrapText="1"/>
    </xf>
    <xf numFmtId="164" fontId="1" fillId="10" borderId="20" xfId="0" applyNumberFormat="1" applyFont="1" applyFill="1" applyBorder="1" applyAlignment="1">
      <alignment horizontal="center" vertical="center" wrapText="1"/>
    </xf>
    <xf numFmtId="0" fontId="1" fillId="2" borderId="12" xfId="1" applyFont="1" applyBorder="1" applyAlignment="1">
      <alignment horizontal="center" vertical="center" wrapText="1"/>
    </xf>
    <xf numFmtId="49" fontId="1" fillId="2" borderId="16" xfId="1" applyNumberFormat="1" applyFont="1" applyBorder="1" applyAlignment="1">
      <alignment horizontal="center" vertical="center" wrapText="1"/>
    </xf>
    <xf numFmtId="164" fontId="1" fillId="2" borderId="20" xfId="1" applyNumberFormat="1" applyFont="1" applyBorder="1" applyAlignment="1">
      <alignment horizontal="center" vertical="center" wrapText="1"/>
    </xf>
    <xf numFmtId="1" fontId="3" fillId="3" borderId="0" xfId="2" applyNumberFormat="1" applyAlignment="1">
      <alignment horizontal="center" vertical="center" wrapText="1"/>
    </xf>
    <xf numFmtId="1" fontId="3" fillId="3" borderId="10" xfId="2" applyNumberFormat="1" applyBorder="1" applyAlignment="1">
      <alignment horizontal="center" vertical="center" wrapText="1"/>
    </xf>
    <xf numFmtId="1" fontId="4" fillId="3" borderId="0" xfId="2" applyNumberFormat="1" applyFont="1" applyAlignment="1">
      <alignment horizontal="center" vertical="center" wrapText="1"/>
    </xf>
    <xf numFmtId="1" fontId="4" fillId="3" borderId="6" xfId="2" applyNumberFormat="1" applyFont="1" applyBorder="1" applyAlignment="1">
      <alignment horizontal="center" vertical="center" wrapText="1"/>
    </xf>
    <xf numFmtId="1" fontId="4" fillId="3" borderId="8" xfId="2" applyNumberFormat="1" applyFont="1" applyBorder="1" applyAlignment="1">
      <alignment horizontal="center" vertical="center" wrapText="1"/>
    </xf>
    <xf numFmtId="4" fontId="4" fillId="3" borderId="0" xfId="2" applyNumberFormat="1" applyFont="1" applyAlignment="1">
      <alignment horizontal="center" vertical="center" wrapText="1"/>
    </xf>
    <xf numFmtId="4" fontId="4" fillId="3" borderId="7" xfId="2" applyNumberFormat="1" applyFont="1" applyBorder="1" applyAlignment="1">
      <alignment horizontal="center" vertical="center" wrapText="1"/>
    </xf>
    <xf numFmtId="4" fontId="4" fillId="3" borderId="10" xfId="2" applyNumberFormat="1" applyFont="1" applyBorder="1" applyAlignment="1">
      <alignment horizontal="center" vertical="center" wrapText="1"/>
    </xf>
    <xf numFmtId="4" fontId="4" fillId="3" borderId="9" xfId="2" applyNumberFormat="1" applyFont="1" applyBorder="1" applyAlignment="1">
      <alignment horizontal="center" vertical="center" wrapText="1"/>
    </xf>
    <xf numFmtId="0" fontId="1" fillId="4" borderId="12" xfId="3" applyFont="1" applyBorder="1" applyAlignment="1">
      <alignment horizontal="center" vertical="center" wrapText="1"/>
    </xf>
    <xf numFmtId="49" fontId="1" fillId="4" borderId="16" xfId="3" applyNumberFormat="1" applyFont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49" fontId="1" fillId="8" borderId="19" xfId="0" applyNumberFormat="1" applyFont="1" applyFill="1" applyBorder="1" applyAlignment="1">
      <alignment horizontal="center" vertical="center" wrapText="1"/>
    </xf>
    <xf numFmtId="49" fontId="1" fillId="4" borderId="15" xfId="3" applyNumberFormat="1" applyFont="1" applyBorder="1" applyAlignment="1">
      <alignment horizontal="center" vertical="center" wrapText="1"/>
    </xf>
    <xf numFmtId="49" fontId="1" fillId="3" borderId="16" xfId="2" applyNumberFormat="1" applyFont="1" applyBorder="1" applyAlignment="1">
      <alignment horizontal="center" vertical="center" wrapText="1"/>
    </xf>
    <xf numFmtId="0" fontId="1" fillId="3" borderId="12" xfId="2" applyFont="1" applyBorder="1" applyAlignment="1">
      <alignment horizontal="center" vertical="center" wrapText="1"/>
    </xf>
    <xf numFmtId="0" fontId="0" fillId="4" borderId="12" xfId="3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8" fillId="12" borderId="12" xfId="1" applyFont="1" applyFill="1" applyBorder="1" applyAlignment="1">
      <alignment horizontal="center" vertical="center" wrapText="1"/>
    </xf>
    <xf numFmtId="49" fontId="8" fillId="12" borderId="16" xfId="1" applyNumberFormat="1" applyFont="1" applyFill="1" applyBorder="1" applyAlignment="1">
      <alignment horizontal="center" vertical="center" wrapText="1"/>
    </xf>
    <xf numFmtId="164" fontId="8" fillId="12" borderId="2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" fillId="13" borderId="26" xfId="0" applyFont="1" applyFill="1" applyBorder="1" applyAlignment="1">
      <alignment vertical="center"/>
    </xf>
    <xf numFmtId="0" fontId="1" fillId="13" borderId="0" xfId="0" applyFont="1" applyFill="1" applyAlignment="1">
      <alignment vertical="center"/>
    </xf>
    <xf numFmtId="0" fontId="0" fillId="13" borderId="0" xfId="0" applyFill="1" applyAlignment="1">
      <alignment horizontal="center" vertical="center"/>
    </xf>
    <xf numFmtId="0" fontId="0" fillId="13" borderId="27" xfId="0" applyFill="1" applyBorder="1" applyAlignment="1">
      <alignment horizontal="right" vertical="center"/>
    </xf>
    <xf numFmtId="0" fontId="0" fillId="13" borderId="27" xfId="0" applyFill="1" applyBorder="1" applyAlignment="1">
      <alignment horizontal="center" vertical="center"/>
    </xf>
    <xf numFmtId="0" fontId="1" fillId="13" borderId="28" xfId="0" applyFont="1" applyFill="1" applyBorder="1" applyAlignment="1">
      <alignment vertical="center"/>
    </xf>
    <xf numFmtId="0" fontId="0" fillId="13" borderId="29" xfId="0" applyFill="1" applyBorder="1" applyAlignment="1">
      <alignment horizontal="center" vertical="center"/>
    </xf>
    <xf numFmtId="0" fontId="0" fillId="13" borderId="30" xfId="0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13" borderId="24" xfId="0" applyFont="1" applyFill="1" applyBorder="1" applyAlignment="1">
      <alignment vertical="center" wrapText="1"/>
    </xf>
    <xf numFmtId="0" fontId="9" fillId="13" borderId="24" xfId="0" applyFont="1" applyFill="1" applyBorder="1" applyAlignment="1">
      <alignment horizontal="center" vertical="center" wrapText="1"/>
    </xf>
    <xf numFmtId="0" fontId="9" fillId="13" borderId="25" xfId="0" applyFont="1" applyFill="1" applyBorder="1" applyAlignment="1">
      <alignment horizontal="center" vertical="center" wrapText="1"/>
    </xf>
    <xf numFmtId="0" fontId="1" fillId="13" borderId="26" xfId="0" applyFont="1" applyFill="1" applyBorder="1" applyAlignment="1">
      <alignment horizontal="left" vertical="center" wrapText="1"/>
    </xf>
    <xf numFmtId="0" fontId="0" fillId="13" borderId="0" xfId="0" applyFill="1" applyAlignment="1">
      <alignment horizontal="center" vertical="center" wrapText="1"/>
    </xf>
    <xf numFmtId="0" fontId="0" fillId="13" borderId="27" xfId="0" applyFill="1" applyBorder="1" applyAlignment="1">
      <alignment horizontal="center" vertical="center" wrapText="1"/>
    </xf>
    <xf numFmtId="0" fontId="1" fillId="13" borderId="0" xfId="0" applyFont="1" applyFill="1" applyAlignment="1">
      <alignment horizontal="left" vertical="center" wrapText="1"/>
    </xf>
    <xf numFmtId="0" fontId="1" fillId="13" borderId="28" xfId="0" applyFont="1" applyFill="1" applyBorder="1" applyAlignment="1">
      <alignment horizontal="left" vertical="center" wrapText="1"/>
    </xf>
    <xf numFmtId="0" fontId="1" fillId="13" borderId="29" xfId="0" applyFont="1" applyFill="1" applyBorder="1" applyAlignment="1">
      <alignment horizontal="left" vertical="center" wrapText="1"/>
    </xf>
    <xf numFmtId="0" fontId="0" fillId="13" borderId="29" xfId="0" applyFill="1" applyBorder="1" applyAlignment="1">
      <alignment horizontal="center" vertical="center" wrapText="1"/>
    </xf>
    <xf numFmtId="0" fontId="0" fillId="13" borderId="30" xfId="0" applyFill="1" applyBorder="1" applyAlignment="1">
      <alignment horizontal="center" vertical="center" wrapText="1"/>
    </xf>
    <xf numFmtId="49" fontId="1" fillId="2" borderId="38" xfId="1" applyNumberFormat="1" applyFont="1" applyBorder="1" applyAlignment="1">
      <alignment horizontal="center" vertical="center" wrapText="1"/>
    </xf>
    <xf numFmtId="164" fontId="3" fillId="2" borderId="39" xfId="1" applyNumberFormat="1" applyBorder="1" applyAlignment="1">
      <alignment horizontal="center" vertical="center" wrapText="1"/>
    </xf>
    <xf numFmtId="49" fontId="8" fillId="12" borderId="41" xfId="1" applyNumberFormat="1" applyFont="1" applyFill="1" applyBorder="1" applyAlignment="1">
      <alignment horizontal="center" vertical="center" wrapText="1"/>
    </xf>
    <xf numFmtId="164" fontId="8" fillId="12" borderId="42" xfId="1" applyNumberFormat="1" applyFont="1" applyFill="1" applyBorder="1" applyAlignment="1">
      <alignment horizontal="center" vertical="center" wrapText="1"/>
    </xf>
    <xf numFmtId="164" fontId="0" fillId="13" borderId="24" xfId="0" applyNumberFormat="1" applyFill="1" applyBorder="1" applyAlignment="1">
      <alignment horizontal="center" vertical="center" wrapText="1"/>
    </xf>
    <xf numFmtId="164" fontId="0" fillId="13" borderId="25" xfId="0" applyNumberForma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13" borderId="28" xfId="0" applyFont="1" applyFill="1" applyBorder="1" applyAlignment="1">
      <alignment horizontal="center" vertical="center" wrapText="1"/>
    </xf>
    <xf numFmtId="0" fontId="1" fillId="13" borderId="29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" fontId="0" fillId="14" borderId="20" xfId="0" applyNumberFormat="1" applyFill="1" applyBorder="1" applyAlignment="1">
      <alignment horizontal="center" vertical="center" wrapText="1"/>
    </xf>
    <xf numFmtId="3" fontId="0" fillId="14" borderId="20" xfId="0" applyNumberFormat="1" applyFill="1" applyBorder="1" applyAlignment="1">
      <alignment horizontal="center" vertical="center" wrapText="1"/>
    </xf>
    <xf numFmtId="4" fontId="1" fillId="14" borderId="21" xfId="0" applyNumberFormat="1" applyFont="1" applyFill="1" applyBorder="1" applyAlignment="1">
      <alignment horizontal="center" vertical="center" wrapText="1"/>
    </xf>
    <xf numFmtId="3" fontId="0" fillId="14" borderId="18" xfId="0" applyNumberFormat="1" applyFill="1" applyBorder="1" applyAlignment="1">
      <alignment horizontal="center" vertical="center" wrapText="1"/>
    </xf>
    <xf numFmtId="4" fontId="0" fillId="14" borderId="18" xfId="0" applyNumberFormat="1" applyFill="1" applyBorder="1" applyAlignment="1">
      <alignment horizontal="center" vertical="center" wrapText="1"/>
    </xf>
    <xf numFmtId="4" fontId="1" fillId="14" borderId="22" xfId="0" applyNumberFormat="1" applyFont="1" applyFill="1" applyBorder="1" applyAlignment="1">
      <alignment horizontal="center" vertical="center" wrapText="1"/>
    </xf>
    <xf numFmtId="0" fontId="8" fillId="12" borderId="43" xfId="0" applyFont="1" applyFill="1" applyBorder="1" applyAlignment="1">
      <alignment horizontal="center" vertical="center" wrapText="1"/>
    </xf>
    <xf numFmtId="49" fontId="8" fillId="12" borderId="45" xfId="0" applyNumberFormat="1" applyFont="1" applyFill="1" applyBorder="1" applyAlignment="1">
      <alignment horizontal="center" vertical="center" wrapText="1"/>
    </xf>
    <xf numFmtId="10" fontId="8" fillId="15" borderId="3" xfId="0" applyNumberFormat="1" applyFont="1" applyFill="1" applyBorder="1" applyAlignment="1">
      <alignment horizontal="center" vertical="center" wrapText="1"/>
    </xf>
    <xf numFmtId="0" fontId="8" fillId="15" borderId="11" xfId="0" applyFont="1" applyFill="1" applyBorder="1" applyAlignment="1">
      <alignment horizontal="center" vertical="center" wrapText="1"/>
    </xf>
    <xf numFmtId="49" fontId="1" fillId="5" borderId="14" xfId="4" applyNumberFormat="1" applyFont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49" fontId="1" fillId="4" borderId="38" xfId="3" applyNumberFormat="1" applyFont="1" applyBorder="1" applyAlignment="1">
      <alignment horizontal="center" vertical="center" wrapText="1"/>
    </xf>
    <xf numFmtId="49" fontId="1" fillId="4" borderId="41" xfId="3" applyNumberFormat="1" applyFont="1" applyBorder="1" applyAlignment="1">
      <alignment horizontal="center" vertical="center" wrapText="1"/>
    </xf>
    <xf numFmtId="0" fontId="8" fillId="12" borderId="45" xfId="0" applyFont="1" applyFill="1" applyBorder="1" applyAlignment="1">
      <alignment horizontal="center" vertical="center" wrapText="1"/>
    </xf>
    <xf numFmtId="0" fontId="0" fillId="18" borderId="12" xfId="0" applyFill="1" applyBorder="1" applyAlignment="1">
      <alignment horizontal="center" vertical="center" wrapText="1"/>
    </xf>
    <xf numFmtId="49" fontId="1" fillId="18" borderId="16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19" borderId="0" xfId="0" applyFont="1" applyFill="1" applyAlignment="1">
      <alignment horizontal="center" vertical="center" wrapText="1"/>
    </xf>
    <xf numFmtId="0" fontId="13" fillId="19" borderId="0" xfId="0" applyFont="1" applyFill="1" applyAlignment="1">
      <alignment horizontal="center" vertical="center" wrapText="1"/>
    </xf>
    <xf numFmtId="0" fontId="13" fillId="19" borderId="27" xfId="0" applyFont="1" applyFill="1" applyBorder="1" applyAlignment="1">
      <alignment horizontal="center" vertical="center" wrapText="1"/>
    </xf>
    <xf numFmtId="0" fontId="13" fillId="19" borderId="0" xfId="0" applyFont="1" applyFill="1" applyAlignment="1">
      <alignment vertical="center" wrapText="1"/>
    </xf>
    <xf numFmtId="0" fontId="13" fillId="19" borderId="27" xfId="0" applyFont="1" applyFill="1" applyBorder="1" applyAlignment="1">
      <alignment vertical="center" wrapText="1"/>
    </xf>
    <xf numFmtId="0" fontId="16" fillId="19" borderId="60" xfId="0" applyFont="1" applyFill="1" applyBorder="1" applyAlignment="1">
      <alignment vertical="center" wrapText="1"/>
    </xf>
    <xf numFmtId="0" fontId="16" fillId="19" borderId="60" xfId="0" applyFont="1" applyFill="1" applyBorder="1" applyAlignment="1">
      <alignment horizontal="center" vertical="center" wrapText="1"/>
    </xf>
    <xf numFmtId="0" fontId="16" fillId="19" borderId="59" xfId="0" applyFont="1" applyFill="1" applyBorder="1" applyAlignment="1">
      <alignment vertical="center" wrapText="1"/>
    </xf>
    <xf numFmtId="0" fontId="16" fillId="19" borderId="61" xfId="0" applyFont="1" applyFill="1" applyBorder="1" applyAlignment="1">
      <alignment vertical="center" wrapText="1"/>
    </xf>
    <xf numFmtId="0" fontId="16" fillId="19" borderId="62" xfId="0" applyFont="1" applyFill="1" applyBorder="1" applyAlignment="1">
      <alignment horizontal="left" vertical="center" wrapText="1"/>
    </xf>
    <xf numFmtId="0" fontId="8" fillId="11" borderId="13" xfId="0" applyFont="1" applyFill="1" applyBorder="1" applyAlignment="1">
      <alignment horizontal="center" vertical="center" wrapText="1"/>
    </xf>
    <xf numFmtId="49" fontId="8" fillId="11" borderId="19" xfId="0" applyNumberFormat="1" applyFont="1" applyFill="1" applyBorder="1" applyAlignment="1">
      <alignment horizontal="center" vertical="center" wrapText="1"/>
    </xf>
    <xf numFmtId="164" fontId="8" fillId="11" borderId="2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10" fontId="1" fillId="13" borderId="24" xfId="0" applyNumberFormat="1" applyFont="1" applyFill="1" applyBorder="1" applyAlignment="1">
      <alignment horizontal="center" vertical="center" wrapText="1"/>
    </xf>
    <xf numFmtId="164" fontId="1" fillId="13" borderId="24" xfId="0" applyNumberFormat="1" applyFont="1" applyFill="1" applyBorder="1" applyAlignment="1">
      <alignment horizontal="center" vertical="center" wrapText="1"/>
    </xf>
    <xf numFmtId="164" fontId="1" fillId="13" borderId="25" xfId="0" applyNumberFormat="1" applyFont="1" applyFill="1" applyBorder="1" applyAlignment="1">
      <alignment horizontal="center" vertical="center" wrapText="1"/>
    </xf>
    <xf numFmtId="164" fontId="1" fillId="13" borderId="29" xfId="0" applyNumberFormat="1" applyFont="1" applyFill="1" applyBorder="1" applyAlignment="1">
      <alignment horizontal="center" vertical="center" wrapText="1"/>
    </xf>
    <xf numFmtId="10" fontId="1" fillId="13" borderId="29" xfId="0" applyNumberFormat="1" applyFont="1" applyFill="1" applyBorder="1" applyAlignment="1">
      <alignment horizontal="center" vertical="center" wrapText="1"/>
    </xf>
    <xf numFmtId="164" fontId="1" fillId="13" borderId="30" xfId="0" applyNumberFormat="1" applyFont="1" applyFill="1" applyBorder="1" applyAlignment="1">
      <alignment horizontal="center" vertical="center" wrapText="1"/>
    </xf>
    <xf numFmtId="3" fontId="1" fillId="21" borderId="69" xfId="0" applyNumberFormat="1" applyFont="1" applyFill="1" applyBorder="1" applyAlignment="1">
      <alignment horizontal="center" vertical="center" wrapText="1"/>
    </xf>
    <xf numFmtId="3" fontId="1" fillId="21" borderId="70" xfId="0" applyNumberFormat="1" applyFont="1" applyFill="1" applyBorder="1" applyAlignment="1">
      <alignment horizontal="center" vertical="center" wrapText="1"/>
    </xf>
    <xf numFmtId="0" fontId="1" fillId="7" borderId="73" xfId="0" applyFont="1" applyFill="1" applyBorder="1" applyAlignment="1">
      <alignment horizontal="center" vertical="center"/>
    </xf>
    <xf numFmtId="0" fontId="1" fillId="7" borderId="74" xfId="0" applyFont="1" applyFill="1" applyBorder="1" applyAlignment="1">
      <alignment horizontal="center" vertical="center"/>
    </xf>
    <xf numFmtId="0" fontId="1" fillId="7" borderId="75" xfId="0" applyFont="1" applyFill="1" applyBorder="1" applyAlignment="1">
      <alignment horizontal="center" vertical="center"/>
    </xf>
    <xf numFmtId="0" fontId="1" fillId="7" borderId="76" xfId="0" applyFont="1" applyFill="1" applyBorder="1" applyAlignment="1">
      <alignment horizontal="center" vertical="center"/>
    </xf>
    <xf numFmtId="0" fontId="1" fillId="0" borderId="77" xfId="0" applyFont="1" applyBorder="1" applyAlignment="1">
      <alignment horizontal="center" vertical="center" wrapText="1"/>
    </xf>
    <xf numFmtId="0" fontId="0" fillId="0" borderId="77" xfId="0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22" borderId="79" xfId="0" applyFill="1" applyBorder="1" applyAlignment="1">
      <alignment vertical="center"/>
    </xf>
    <xf numFmtId="0" fontId="0" fillId="22" borderId="79" xfId="0" applyFill="1" applyBorder="1" applyAlignment="1">
      <alignment horizontal="center" vertical="center"/>
    </xf>
    <xf numFmtId="0" fontId="0" fillId="17" borderId="79" xfId="0" applyFill="1" applyBorder="1" applyAlignment="1">
      <alignment vertical="center"/>
    </xf>
    <xf numFmtId="0" fontId="0" fillId="17" borderId="79" xfId="0" applyFill="1" applyBorder="1" applyAlignment="1">
      <alignment horizontal="center" vertical="center"/>
    </xf>
    <xf numFmtId="0" fontId="0" fillId="23" borderId="79" xfId="0" applyFill="1" applyBorder="1" applyAlignment="1">
      <alignment vertical="center"/>
    </xf>
    <xf numFmtId="0" fontId="0" fillId="23" borderId="79" xfId="0" applyFill="1" applyBorder="1" applyAlignment="1">
      <alignment horizontal="center" vertical="center"/>
    </xf>
    <xf numFmtId="0" fontId="0" fillId="24" borderId="79" xfId="0" applyFill="1" applyBorder="1" applyAlignment="1">
      <alignment vertical="center"/>
    </xf>
    <xf numFmtId="0" fontId="0" fillId="24" borderId="79" xfId="0" applyFill="1" applyBorder="1" applyAlignment="1">
      <alignment horizontal="center" vertical="center"/>
    </xf>
    <xf numFmtId="0" fontId="0" fillId="25" borderId="79" xfId="0" applyFill="1" applyBorder="1" applyAlignment="1">
      <alignment vertical="center"/>
    </xf>
    <xf numFmtId="0" fontId="0" fillId="25" borderId="79" xfId="0" applyFill="1" applyBorder="1" applyAlignment="1">
      <alignment horizontal="center" vertical="center"/>
    </xf>
    <xf numFmtId="0" fontId="0" fillId="26" borderId="79" xfId="0" applyFill="1" applyBorder="1" applyAlignment="1">
      <alignment vertical="center"/>
    </xf>
    <xf numFmtId="0" fontId="0" fillId="26" borderId="79" xfId="0" applyFill="1" applyBorder="1" applyAlignment="1">
      <alignment horizontal="center" vertical="center"/>
    </xf>
    <xf numFmtId="0" fontId="0" fillId="27" borderId="79" xfId="0" applyFill="1" applyBorder="1" applyAlignment="1">
      <alignment vertical="center"/>
    </xf>
    <xf numFmtId="0" fontId="0" fillId="27" borderId="79" xfId="0" applyFill="1" applyBorder="1" applyAlignment="1">
      <alignment horizontal="center" vertical="center"/>
    </xf>
    <xf numFmtId="0" fontId="0" fillId="21" borderId="79" xfId="0" applyFill="1" applyBorder="1" applyAlignment="1">
      <alignment vertical="center"/>
    </xf>
    <xf numFmtId="0" fontId="0" fillId="21" borderId="79" xfId="0" applyFill="1" applyBorder="1" applyAlignment="1">
      <alignment horizontal="center" vertical="center"/>
    </xf>
    <xf numFmtId="0" fontId="0" fillId="13" borderId="79" xfId="0" applyFill="1" applyBorder="1" applyAlignment="1">
      <alignment vertical="center"/>
    </xf>
    <xf numFmtId="0" fontId="0" fillId="13" borderId="79" xfId="0" applyFill="1" applyBorder="1" applyAlignment="1">
      <alignment horizontal="center" vertical="center"/>
    </xf>
    <xf numFmtId="0" fontId="0" fillId="20" borderId="81" xfId="0" applyFill="1" applyBorder="1" applyAlignment="1">
      <alignment vertical="center"/>
    </xf>
    <xf numFmtId="0" fontId="0" fillId="20" borderId="81" xfId="0" applyFill="1" applyBorder="1" applyAlignment="1">
      <alignment horizontal="center" vertical="center"/>
    </xf>
    <xf numFmtId="4" fontId="3" fillId="4" borderId="83" xfId="3" applyNumberFormat="1" applyBorder="1" applyAlignment="1">
      <alignment horizontal="center" vertical="center" wrapText="1"/>
    </xf>
    <xf numFmtId="4" fontId="3" fillId="4" borderId="49" xfId="3" applyNumberFormat="1" applyBorder="1" applyAlignment="1">
      <alignment horizontal="center" vertical="center" wrapText="1"/>
    </xf>
    <xf numFmtId="4" fontId="3" fillId="4" borderId="55" xfId="3" applyNumberForma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4" fontId="0" fillId="14" borderId="86" xfId="0" applyNumberFormat="1" applyFill="1" applyBorder="1" applyAlignment="1">
      <alignment horizontal="left" vertical="center" wrapText="1"/>
    </xf>
    <xf numFmtId="4" fontId="0" fillId="14" borderId="50" xfId="0" applyNumberFormat="1" applyFill="1" applyBorder="1" applyAlignment="1">
      <alignment vertical="center" wrapText="1"/>
    </xf>
    <xf numFmtId="4" fontId="0" fillId="14" borderId="87" xfId="0" applyNumberFormat="1" applyFill="1" applyBorder="1" applyAlignment="1">
      <alignment horizontal="left" vertical="center" wrapText="1"/>
    </xf>
    <xf numFmtId="4" fontId="0" fillId="14" borderId="88" xfId="0" applyNumberFormat="1" applyFill="1" applyBorder="1" applyAlignment="1">
      <alignment horizontal="left" vertical="center" wrapText="1"/>
    </xf>
    <xf numFmtId="4" fontId="0" fillId="14" borderId="75" xfId="0" applyNumberFormat="1" applyFill="1" applyBorder="1" applyAlignment="1">
      <alignment horizontal="center" vertical="center" wrapText="1"/>
    </xf>
    <xf numFmtId="0" fontId="0" fillId="4" borderId="11" xfId="3" applyFont="1" applyBorder="1" applyAlignment="1">
      <alignment horizontal="center" vertical="center" wrapText="1"/>
    </xf>
    <xf numFmtId="0" fontId="0" fillId="5" borderId="12" xfId="4" applyFont="1" applyBorder="1" applyAlignment="1">
      <alignment horizontal="center" vertical="center" wrapText="1"/>
    </xf>
    <xf numFmtId="0" fontId="0" fillId="3" borderId="12" xfId="2" applyFont="1" applyBorder="1" applyAlignment="1">
      <alignment horizontal="center" vertical="center" wrapText="1"/>
    </xf>
    <xf numFmtId="0" fontId="0" fillId="2" borderId="12" xfId="1" applyFont="1" applyBorder="1" applyAlignment="1">
      <alignment horizontal="center" vertical="center" wrapText="1"/>
    </xf>
    <xf numFmtId="164" fontId="20" fillId="0" borderId="26" xfId="0" applyNumberFormat="1" applyFont="1" applyBorder="1" applyAlignment="1">
      <alignment vertical="center" wrapText="1"/>
    </xf>
    <xf numFmtId="164" fontId="20" fillId="0" borderId="0" xfId="0" applyNumberFormat="1" applyFont="1" applyAlignment="1">
      <alignment vertical="center" wrapText="1"/>
    </xf>
    <xf numFmtId="0" fontId="0" fillId="4" borderId="40" xfId="3" applyFont="1" applyBorder="1" applyAlignment="1">
      <alignment horizontal="center" vertical="center" wrapText="1"/>
    </xf>
    <xf numFmtId="0" fontId="0" fillId="4" borderId="37" xfId="3" applyFont="1" applyBorder="1" applyAlignment="1">
      <alignment horizontal="center" vertical="center" wrapText="1"/>
    </xf>
    <xf numFmtId="0" fontId="0" fillId="5" borderId="2" xfId="4" applyFont="1" applyBorder="1" applyAlignment="1">
      <alignment horizontal="center" vertical="center" wrapText="1"/>
    </xf>
    <xf numFmtId="0" fontId="16" fillId="19" borderId="62" xfId="0" applyFont="1" applyFill="1" applyBorder="1" applyAlignment="1">
      <alignment vertical="center" wrapText="1"/>
    </xf>
    <xf numFmtId="164" fontId="17" fillId="0" borderId="0" xfId="0" applyNumberFormat="1" applyFont="1" applyAlignment="1">
      <alignment vertical="center" wrapText="1"/>
    </xf>
    <xf numFmtId="0" fontId="0" fillId="0" borderId="77" xfId="0" applyBorder="1" applyAlignment="1">
      <alignment vertical="center"/>
    </xf>
    <xf numFmtId="0" fontId="1" fillId="0" borderId="91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21" fillId="0" borderId="0" xfId="0" applyFont="1" applyAlignment="1">
      <alignment vertical="center"/>
    </xf>
    <xf numFmtId="10" fontId="3" fillId="0" borderId="17" xfId="3" applyNumberFormat="1" applyFill="1" applyBorder="1" applyAlignment="1" applyProtection="1">
      <alignment horizontal="center" vertical="center" wrapText="1"/>
      <protection locked="0"/>
    </xf>
    <xf numFmtId="4" fontId="3" fillId="0" borderId="18" xfId="3" applyNumberFormat="1" applyFill="1" applyBorder="1" applyAlignment="1" applyProtection="1">
      <alignment horizontal="center" vertical="center" wrapText="1"/>
      <protection locked="0"/>
    </xf>
    <xf numFmtId="164" fontId="3" fillId="0" borderId="18" xfId="3" applyNumberFormat="1" applyFill="1" applyBorder="1" applyAlignment="1" applyProtection="1">
      <alignment horizontal="center" vertical="center" wrapText="1"/>
      <protection locked="0"/>
    </xf>
    <xf numFmtId="164" fontId="3" fillId="0" borderId="18" xfId="4" applyNumberFormat="1" applyFill="1" applyBorder="1" applyAlignment="1" applyProtection="1">
      <alignment horizontal="center" vertical="center" wrapText="1"/>
      <protection locked="0"/>
    </xf>
    <xf numFmtId="164" fontId="3" fillId="0" borderId="18" xfId="2" applyNumberFormat="1" applyFill="1" applyBorder="1" applyAlignment="1" applyProtection="1">
      <alignment horizontal="center" vertical="center" wrapText="1"/>
      <protection locked="0"/>
    </xf>
    <xf numFmtId="4" fontId="3" fillId="0" borderId="18" xfId="2" applyNumberFormat="1" applyFill="1" applyBorder="1" applyAlignment="1" applyProtection="1">
      <alignment horizontal="center" vertical="center" wrapText="1"/>
      <protection locked="0"/>
    </xf>
    <xf numFmtId="10" fontId="3" fillId="0" borderId="20" xfId="1" applyNumberFormat="1" applyFill="1" applyBorder="1" applyAlignment="1" applyProtection="1">
      <alignment horizontal="center" vertical="center" wrapText="1"/>
      <protection locked="0"/>
    </xf>
    <xf numFmtId="3" fontId="0" fillId="0" borderId="17" xfId="0" applyNumberFormat="1" applyBorder="1" applyAlignment="1" applyProtection="1">
      <alignment horizontal="center" vertical="center" wrapText="1"/>
      <protection locked="0"/>
    </xf>
    <xf numFmtId="4" fontId="0" fillId="0" borderId="69" xfId="0" applyNumberFormat="1" applyBorder="1" applyAlignment="1" applyProtection="1">
      <alignment horizontal="center" vertical="center" wrapText="1"/>
      <protection locked="0"/>
    </xf>
    <xf numFmtId="3" fontId="3" fillId="0" borderId="18" xfId="3" applyNumberFormat="1" applyFill="1" applyBorder="1" applyAlignment="1" applyProtection="1">
      <alignment horizontal="center" vertical="center" wrapText="1"/>
      <protection locked="0"/>
    </xf>
    <xf numFmtId="3" fontId="0" fillId="0" borderId="55" xfId="0" applyNumberFormat="1" applyBorder="1" applyAlignment="1" applyProtection="1">
      <alignment horizontal="center" vertical="center" wrapText="1"/>
      <protection locked="0"/>
    </xf>
    <xf numFmtId="49" fontId="4" fillId="3" borderId="0" xfId="2" applyNumberFormat="1" applyFont="1" applyAlignment="1" applyProtection="1">
      <alignment horizontal="center" vertical="center" wrapText="1"/>
      <protection locked="0" hidden="1"/>
    </xf>
    <xf numFmtId="49" fontId="4" fillId="3" borderId="10" xfId="2" applyNumberFormat="1" applyFont="1" applyBorder="1" applyAlignment="1" applyProtection="1">
      <alignment horizontal="center" vertical="center" wrapText="1"/>
      <protection locked="0" hidden="1"/>
    </xf>
    <xf numFmtId="0" fontId="18" fillId="0" borderId="0" xfId="0" applyFont="1" applyAlignment="1" applyProtection="1">
      <alignment horizontal="center" vertical="center" wrapText="1"/>
      <protection locked="0" hidden="1"/>
    </xf>
    <xf numFmtId="0" fontId="19" fillId="0" borderId="78" xfId="0" applyFont="1" applyBorder="1" applyAlignment="1" applyProtection="1">
      <alignment horizontal="center" vertical="center"/>
      <protection locked="0" hidden="1"/>
    </xf>
    <xf numFmtId="0" fontId="19" fillId="0" borderId="71" xfId="0" applyFont="1" applyBorder="1" applyAlignment="1" applyProtection="1">
      <alignment horizontal="center" vertical="center"/>
      <protection locked="0" hidden="1"/>
    </xf>
    <xf numFmtId="0" fontId="19" fillId="0" borderId="72" xfId="0" applyFont="1" applyBorder="1" applyAlignment="1" applyProtection="1">
      <alignment horizontal="center" vertical="center"/>
      <protection locked="0" hidden="1"/>
    </xf>
    <xf numFmtId="0" fontId="1" fillId="7" borderId="80" xfId="0" applyFont="1" applyFill="1" applyBorder="1" applyAlignment="1">
      <alignment horizontal="center" vertical="center"/>
    </xf>
    <xf numFmtId="0" fontId="1" fillId="7" borderId="82" xfId="0" applyFont="1" applyFill="1" applyBorder="1" applyAlignment="1">
      <alignment horizontal="center" vertical="center"/>
    </xf>
    <xf numFmtId="0" fontId="18" fillId="0" borderId="0" xfId="0" applyFont="1" applyAlignment="1" applyProtection="1">
      <alignment horizontal="center" vertical="center"/>
      <protection locked="0" hidden="1"/>
    </xf>
    <xf numFmtId="0" fontId="15" fillId="0" borderId="0" xfId="0" applyFont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4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94" xfId="0" applyFont="1" applyFill="1" applyBorder="1" applyAlignment="1">
      <alignment horizontal="center" vertical="center" wrapText="1"/>
    </xf>
    <xf numFmtId="0" fontId="1" fillId="7" borderId="95" xfId="0" applyFont="1" applyFill="1" applyBorder="1" applyAlignment="1">
      <alignment horizontal="center" vertical="center" wrapText="1"/>
    </xf>
    <xf numFmtId="0" fontId="1" fillId="7" borderId="96" xfId="0" applyFont="1" applyFill="1" applyBorder="1" applyAlignment="1">
      <alignment horizontal="center" vertical="center" wrapText="1"/>
    </xf>
    <xf numFmtId="0" fontId="1" fillId="7" borderId="89" xfId="0" applyFont="1" applyFill="1" applyBorder="1" applyAlignment="1">
      <alignment horizontal="center" vertical="center"/>
    </xf>
    <xf numFmtId="0" fontId="1" fillId="7" borderId="9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23" fillId="28" borderId="23" xfId="0" applyFont="1" applyFill="1" applyBorder="1" applyAlignment="1">
      <alignment horizontal="center" vertical="center"/>
    </xf>
    <xf numFmtId="0" fontId="23" fillId="28" borderId="24" xfId="0" applyFont="1" applyFill="1" applyBorder="1" applyAlignment="1">
      <alignment horizontal="center" vertical="center"/>
    </xf>
    <xf numFmtId="0" fontId="23" fillId="28" borderId="25" xfId="0" applyFont="1" applyFill="1" applyBorder="1" applyAlignment="1">
      <alignment horizontal="center" vertical="center"/>
    </xf>
    <xf numFmtId="0" fontId="23" fillId="28" borderId="28" xfId="0" applyFont="1" applyFill="1" applyBorder="1" applyAlignment="1">
      <alignment horizontal="center" vertical="center"/>
    </xf>
    <xf numFmtId="0" fontId="23" fillId="28" borderId="29" xfId="0" applyFont="1" applyFill="1" applyBorder="1" applyAlignment="1">
      <alignment horizontal="center" vertical="center"/>
    </xf>
    <xf numFmtId="0" fontId="23" fillId="28" borderId="30" xfId="0" applyFont="1" applyFill="1" applyBorder="1" applyAlignment="1">
      <alignment horizontal="center" vertical="center"/>
    </xf>
    <xf numFmtId="0" fontId="1" fillId="14" borderId="48" xfId="0" applyFont="1" applyFill="1" applyBorder="1" applyAlignment="1">
      <alignment horizontal="center" vertical="center" wrapText="1"/>
    </xf>
    <xf numFmtId="0" fontId="1" fillId="14" borderId="51" xfId="0" applyFont="1" applyFill="1" applyBorder="1" applyAlignment="1">
      <alignment horizontal="center" vertical="center" wrapText="1"/>
    </xf>
    <xf numFmtId="0" fontId="1" fillId="14" borderId="54" xfId="0" applyFont="1" applyFill="1" applyBorder="1" applyAlignment="1">
      <alignment horizontal="center" vertical="center" wrapText="1"/>
    </xf>
    <xf numFmtId="164" fontId="17" fillId="20" borderId="23" xfId="0" applyNumberFormat="1" applyFont="1" applyFill="1" applyBorder="1" applyAlignment="1">
      <alignment horizontal="center" vertical="center" wrapText="1"/>
    </xf>
    <xf numFmtId="164" fontId="17" fillId="20" borderId="24" xfId="0" applyNumberFormat="1" applyFont="1" applyFill="1" applyBorder="1" applyAlignment="1">
      <alignment horizontal="center" vertical="center" wrapText="1"/>
    </xf>
    <xf numFmtId="164" fontId="17" fillId="20" borderId="28" xfId="0" applyNumberFormat="1" applyFont="1" applyFill="1" applyBorder="1" applyAlignment="1">
      <alignment horizontal="center" vertical="center" wrapText="1"/>
    </xf>
    <xf numFmtId="164" fontId="17" fillId="20" borderId="29" xfId="0" applyNumberFormat="1" applyFont="1" applyFill="1" applyBorder="1" applyAlignment="1">
      <alignment horizontal="center" vertical="center" wrapText="1"/>
    </xf>
    <xf numFmtId="4" fontId="3" fillId="0" borderId="84" xfId="3" applyNumberFormat="1" applyFill="1" applyBorder="1" applyAlignment="1" applyProtection="1">
      <alignment horizontal="center" vertical="center" wrapText="1"/>
      <protection locked="0"/>
    </xf>
    <xf numFmtId="4" fontId="3" fillId="0" borderId="50" xfId="3" applyNumberFormat="1" applyFill="1" applyBorder="1" applyAlignment="1" applyProtection="1">
      <alignment horizontal="center" vertical="center" wrapText="1"/>
      <protection locked="0"/>
    </xf>
    <xf numFmtId="4" fontId="3" fillId="0" borderId="20" xfId="3" applyNumberFormat="1" applyFill="1" applyBorder="1" applyAlignment="1" applyProtection="1">
      <alignment horizontal="center" vertical="center" wrapText="1"/>
      <protection locked="0"/>
    </xf>
    <xf numFmtId="4" fontId="1" fillId="4" borderId="84" xfId="3" applyNumberFormat="1" applyFont="1" applyBorder="1" applyAlignment="1">
      <alignment horizontal="center" vertical="center" wrapText="1"/>
    </xf>
    <xf numFmtId="4" fontId="1" fillId="4" borderId="50" xfId="3" applyNumberFormat="1" applyFont="1" applyBorder="1" applyAlignment="1">
      <alignment horizontal="center" vertical="center" wrapText="1"/>
    </xf>
    <xf numFmtId="4" fontId="1" fillId="4" borderId="20" xfId="3" applyNumberFormat="1" applyFont="1" applyBorder="1" applyAlignment="1">
      <alignment horizontal="center" vertical="center" wrapText="1"/>
    </xf>
    <xf numFmtId="10" fontId="3" fillId="0" borderId="84" xfId="4" applyNumberFormat="1" applyFill="1" applyBorder="1" applyAlignment="1" applyProtection="1">
      <alignment horizontal="center" vertical="center" wrapText="1"/>
      <protection locked="0"/>
    </xf>
    <xf numFmtId="10" fontId="3" fillId="0" borderId="50" xfId="4" applyNumberFormat="1" applyFill="1" applyBorder="1" applyAlignment="1" applyProtection="1">
      <alignment horizontal="center" vertical="center" wrapText="1"/>
      <protection locked="0"/>
    </xf>
    <xf numFmtId="10" fontId="3" fillId="0" borderId="20" xfId="4" applyNumberFormat="1" applyFill="1" applyBorder="1" applyAlignment="1" applyProtection="1">
      <alignment horizontal="center" vertical="center" wrapText="1"/>
      <protection locked="0"/>
    </xf>
    <xf numFmtId="4" fontId="0" fillId="17" borderId="84" xfId="0" applyNumberFormat="1" applyFill="1" applyBorder="1" applyAlignment="1">
      <alignment horizontal="center" vertical="center" wrapText="1"/>
    </xf>
    <xf numFmtId="4" fontId="0" fillId="17" borderId="50" xfId="0" applyNumberFormat="1" applyFill="1" applyBorder="1" applyAlignment="1">
      <alignment horizontal="center" vertical="center" wrapText="1"/>
    </xf>
    <xf numFmtId="4" fontId="0" fillId="17" borderId="20" xfId="0" applyNumberFormat="1" applyFill="1" applyBorder="1" applyAlignment="1">
      <alignment horizontal="center" vertical="center" wrapText="1"/>
    </xf>
    <xf numFmtId="0" fontId="0" fillId="14" borderId="37" xfId="0" applyFill="1" applyBorder="1" applyAlignment="1">
      <alignment horizontal="center" vertical="center" wrapText="1"/>
    </xf>
    <xf numFmtId="0" fontId="0" fillId="14" borderId="40" xfId="0" applyFill="1" applyBorder="1" applyAlignment="1">
      <alignment horizontal="center" vertical="center" wrapText="1"/>
    </xf>
    <xf numFmtId="49" fontId="1" fillId="14" borderId="38" xfId="0" applyNumberFormat="1" applyFont="1" applyFill="1" applyBorder="1" applyAlignment="1">
      <alignment horizontal="center" vertical="center" wrapText="1"/>
    </xf>
    <xf numFmtId="49" fontId="1" fillId="14" borderId="41" xfId="0" applyNumberFormat="1" applyFont="1" applyFill="1" applyBorder="1" applyAlignment="1">
      <alignment horizontal="center" vertical="center" wrapText="1"/>
    </xf>
    <xf numFmtId="0" fontId="1" fillId="17" borderId="37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wrapText="1"/>
    </xf>
    <xf numFmtId="49" fontId="1" fillId="17" borderId="38" xfId="0" applyNumberFormat="1" applyFont="1" applyFill="1" applyBorder="1" applyAlignment="1">
      <alignment horizontal="center" vertical="center" wrapText="1"/>
    </xf>
    <xf numFmtId="49" fontId="1" fillId="17" borderId="14" xfId="0" applyNumberFormat="1" applyFont="1" applyFill="1" applyBorder="1" applyAlignment="1">
      <alignment horizontal="center" vertical="center" wrapText="1"/>
    </xf>
    <xf numFmtId="49" fontId="1" fillId="17" borderId="41" xfId="0" applyNumberFormat="1" applyFont="1" applyFill="1" applyBorder="1" applyAlignment="1">
      <alignment horizontal="center" vertical="center" wrapText="1"/>
    </xf>
    <xf numFmtId="0" fontId="1" fillId="13" borderId="26" xfId="0" applyFont="1" applyFill="1" applyBorder="1" applyAlignment="1">
      <alignment horizontal="center" vertical="center" wrapText="1"/>
    </xf>
    <xf numFmtId="0" fontId="1" fillId="13" borderId="0" xfId="0" applyFont="1" applyFill="1" applyAlignment="1">
      <alignment horizontal="center" vertical="center" wrapText="1"/>
    </xf>
    <xf numFmtId="0" fontId="1" fillId="13" borderId="27" xfId="0" applyFont="1" applyFill="1" applyBorder="1" applyAlignment="1">
      <alignment horizontal="center" vertical="center" wrapText="1"/>
    </xf>
    <xf numFmtId="0" fontId="1" fillId="13" borderId="28" xfId="0" applyFont="1" applyFill="1" applyBorder="1" applyAlignment="1">
      <alignment horizontal="center" vertical="center" wrapText="1"/>
    </xf>
    <xf numFmtId="0" fontId="1" fillId="13" borderId="29" xfId="0" applyFont="1" applyFill="1" applyBorder="1" applyAlignment="1">
      <alignment horizontal="center" vertical="center" wrapText="1"/>
    </xf>
    <xf numFmtId="0" fontId="1" fillId="13" borderId="30" xfId="0" applyFont="1" applyFill="1" applyBorder="1" applyAlignment="1">
      <alignment horizontal="center" vertical="center" wrapText="1"/>
    </xf>
    <xf numFmtId="0" fontId="12" fillId="16" borderId="56" xfId="0" applyFont="1" applyFill="1" applyBorder="1" applyAlignment="1">
      <alignment horizontal="center" vertical="center" wrapText="1"/>
    </xf>
    <xf numFmtId="0" fontId="12" fillId="16" borderId="57" xfId="0" applyFont="1" applyFill="1" applyBorder="1" applyAlignment="1">
      <alignment horizontal="center" vertical="center" wrapText="1"/>
    </xf>
    <xf numFmtId="0" fontId="12" fillId="16" borderId="58" xfId="0" applyFont="1" applyFill="1" applyBorder="1" applyAlignment="1">
      <alignment horizontal="center" vertical="center" wrapText="1"/>
    </xf>
    <xf numFmtId="4" fontId="3" fillId="4" borderId="84" xfId="3" applyNumberFormat="1" applyBorder="1" applyAlignment="1">
      <alignment horizontal="center" vertical="center" wrapText="1"/>
    </xf>
    <xf numFmtId="4" fontId="3" fillId="4" borderId="50" xfId="3" applyNumberFormat="1" applyBorder="1" applyAlignment="1">
      <alignment horizontal="center" vertical="center" wrapText="1"/>
    </xf>
    <xf numFmtId="4" fontId="3" fillId="4" borderId="20" xfId="3" applyNumberFormat="1" applyBorder="1" applyAlignment="1">
      <alignment horizontal="center" vertical="center" wrapText="1"/>
    </xf>
    <xf numFmtId="4" fontId="7" fillId="6" borderId="44" xfId="0" applyNumberFormat="1" applyFont="1" applyFill="1" applyBorder="1" applyAlignment="1">
      <alignment horizontal="center" vertical="center" wrapText="1"/>
    </xf>
    <xf numFmtId="4" fontId="7" fillId="6" borderId="0" xfId="0" applyNumberFormat="1" applyFont="1" applyFill="1" applyAlignment="1">
      <alignment horizontal="center" vertical="center" wrapText="1"/>
    </xf>
    <xf numFmtId="4" fontId="7" fillId="6" borderId="10" xfId="0" applyNumberFormat="1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0" fillId="14" borderId="47" xfId="0" applyFill="1" applyBorder="1" applyAlignment="1">
      <alignment horizontal="center" vertical="center" wrapText="1"/>
    </xf>
    <xf numFmtId="0" fontId="0" fillId="14" borderId="50" xfId="0" applyFill="1" applyBorder="1" applyAlignment="1">
      <alignment horizontal="center" vertical="center" wrapText="1"/>
    </xf>
    <xf numFmtId="0" fontId="0" fillId="14" borderId="53" xfId="0" applyFill="1" applyBorder="1" applyAlignment="1">
      <alignment horizontal="center" vertical="center" wrapText="1"/>
    </xf>
    <xf numFmtId="2" fontId="0" fillId="14" borderId="47" xfId="0" applyNumberFormat="1" applyFill="1" applyBorder="1" applyAlignment="1">
      <alignment horizontal="center" vertical="center" wrapText="1"/>
    </xf>
    <xf numFmtId="2" fontId="0" fillId="14" borderId="50" xfId="0" applyNumberFormat="1" applyFill="1" applyBorder="1" applyAlignment="1">
      <alignment horizontal="center" vertical="center" wrapText="1"/>
    </xf>
    <xf numFmtId="2" fontId="0" fillId="14" borderId="53" xfId="0" applyNumberFormat="1" applyFill="1" applyBorder="1" applyAlignment="1">
      <alignment horizontal="center" vertical="center" wrapText="1"/>
    </xf>
    <xf numFmtId="0" fontId="0" fillId="14" borderId="46" xfId="0" applyFill="1" applyBorder="1" applyAlignment="1">
      <alignment horizontal="center" vertical="center" wrapText="1"/>
    </xf>
    <xf numFmtId="0" fontId="0" fillId="14" borderId="49" xfId="0" applyFill="1" applyBorder="1" applyAlignment="1">
      <alignment horizontal="center" vertical="center" wrapText="1"/>
    </xf>
    <xf numFmtId="0" fontId="0" fillId="14" borderId="52" xfId="0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4" fontId="0" fillId="18" borderId="84" xfId="0" applyNumberFormat="1" applyFill="1" applyBorder="1" applyAlignment="1">
      <alignment horizontal="center" vertical="center" wrapText="1"/>
    </xf>
    <xf numFmtId="4" fontId="0" fillId="18" borderId="50" xfId="0" applyNumberFormat="1" applyFill="1" applyBorder="1" applyAlignment="1">
      <alignment horizontal="center" vertical="center" wrapText="1"/>
    </xf>
    <xf numFmtId="4" fontId="0" fillId="18" borderId="20" xfId="0" applyNumberForma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2" fontId="7" fillId="6" borderId="2" xfId="0" applyNumberFormat="1" applyFont="1" applyFill="1" applyBorder="1" applyAlignment="1">
      <alignment horizontal="center" vertical="center" wrapText="1"/>
    </xf>
    <xf numFmtId="0" fontId="0" fillId="3" borderId="12" xfId="2" applyFont="1" applyBorder="1" applyAlignment="1">
      <alignment horizontal="center" vertical="center" wrapText="1"/>
    </xf>
    <xf numFmtId="0" fontId="3" fillId="3" borderId="12" xfId="2" applyBorder="1" applyAlignment="1">
      <alignment horizontal="center" vertical="center" wrapText="1"/>
    </xf>
    <xf numFmtId="49" fontId="1" fillId="3" borderId="14" xfId="2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13" borderId="31" xfId="0" applyFont="1" applyFill="1" applyBorder="1" applyAlignment="1">
      <alignment horizontal="center" vertical="center" wrapText="1"/>
    </xf>
    <xf numFmtId="0" fontId="10" fillId="13" borderId="32" xfId="0" applyFont="1" applyFill="1" applyBorder="1" applyAlignment="1">
      <alignment horizontal="center" vertical="center" wrapText="1"/>
    </xf>
    <xf numFmtId="0" fontId="10" fillId="13" borderId="33" xfId="0" applyFont="1" applyFill="1" applyBorder="1" applyAlignment="1">
      <alignment horizontal="center" vertical="center" wrapText="1"/>
    </xf>
    <xf numFmtId="0" fontId="1" fillId="13" borderId="34" xfId="0" applyFont="1" applyFill="1" applyBorder="1" applyAlignment="1">
      <alignment horizontal="left" vertical="center"/>
    </xf>
    <xf numFmtId="0" fontId="1" fillId="13" borderId="35" xfId="0" applyFont="1" applyFill="1" applyBorder="1" applyAlignment="1">
      <alignment horizontal="left" vertical="center"/>
    </xf>
    <xf numFmtId="0" fontId="1" fillId="13" borderId="36" xfId="0" applyFont="1" applyFill="1" applyBorder="1" applyAlignment="1">
      <alignment horizontal="left" vertical="center"/>
    </xf>
    <xf numFmtId="0" fontId="15" fillId="19" borderId="23" xfId="0" applyFont="1" applyFill="1" applyBorder="1" applyAlignment="1">
      <alignment horizontal="center" wrapText="1"/>
    </xf>
    <xf numFmtId="0" fontId="15" fillId="19" borderId="24" xfId="0" applyFont="1" applyFill="1" applyBorder="1" applyAlignment="1">
      <alignment horizontal="center" wrapText="1"/>
    </xf>
    <xf numFmtId="0" fontId="15" fillId="19" borderId="25" xfId="0" applyFont="1" applyFill="1" applyBorder="1" applyAlignment="1">
      <alignment horizontal="center" wrapText="1"/>
    </xf>
    <xf numFmtId="164" fontId="1" fillId="13" borderId="23" xfId="0" applyNumberFormat="1" applyFont="1" applyFill="1" applyBorder="1" applyAlignment="1">
      <alignment horizontal="center" vertical="center" wrapText="1"/>
    </xf>
    <xf numFmtId="164" fontId="1" fillId="13" borderId="24" xfId="0" applyNumberFormat="1" applyFont="1" applyFill="1" applyBorder="1" applyAlignment="1">
      <alignment horizontal="center" vertical="center" wrapText="1"/>
    </xf>
    <xf numFmtId="0" fontId="1" fillId="13" borderId="29" xfId="0" applyFont="1" applyFill="1" applyBorder="1" applyAlignment="1">
      <alignment horizontal="left" vertical="center"/>
    </xf>
    <xf numFmtId="0" fontId="1" fillId="13" borderId="28" xfId="0" applyFont="1" applyFill="1" applyBorder="1" applyAlignment="1">
      <alignment horizontal="left" vertical="center"/>
    </xf>
    <xf numFmtId="0" fontId="1" fillId="13" borderId="23" xfId="0" applyFont="1" applyFill="1" applyBorder="1" applyAlignment="1">
      <alignment horizontal="left" vertical="center" wrapText="1"/>
    </xf>
    <xf numFmtId="0" fontId="1" fillId="13" borderId="24" xfId="0" applyFont="1" applyFill="1" applyBorder="1" applyAlignment="1">
      <alignment horizontal="left" vertical="center" wrapText="1"/>
    </xf>
    <xf numFmtId="4" fontId="1" fillId="8" borderId="84" xfId="0" applyNumberFormat="1" applyFont="1" applyFill="1" applyBorder="1" applyAlignment="1">
      <alignment horizontal="center" vertical="center" wrapText="1"/>
    </xf>
    <xf numFmtId="4" fontId="1" fillId="8" borderId="50" xfId="0" applyNumberFormat="1" applyFont="1" applyFill="1" applyBorder="1" applyAlignment="1">
      <alignment horizontal="center" vertical="center" wrapText="1"/>
    </xf>
    <xf numFmtId="4" fontId="1" fillId="8" borderId="20" xfId="0" applyNumberFormat="1" applyFont="1" applyFill="1" applyBorder="1" applyAlignment="1">
      <alignment horizontal="center" vertical="center" wrapText="1"/>
    </xf>
    <xf numFmtId="0" fontId="13" fillId="19" borderId="35" xfId="0" applyFont="1" applyFill="1" applyBorder="1" applyAlignment="1">
      <alignment horizontal="left" vertical="center" wrapText="1"/>
    </xf>
    <xf numFmtId="0" fontId="13" fillId="19" borderId="36" xfId="0" applyFont="1" applyFill="1" applyBorder="1" applyAlignment="1">
      <alignment horizontal="left" vertical="center" wrapText="1"/>
    </xf>
    <xf numFmtId="0" fontId="13" fillId="19" borderId="0" xfId="0" applyFont="1" applyFill="1" applyAlignment="1">
      <alignment horizontal="left" vertical="center" wrapText="1"/>
    </xf>
    <xf numFmtId="0" fontId="13" fillId="19" borderId="27" xfId="0" applyFont="1" applyFill="1" applyBorder="1" applyAlignment="1">
      <alignment horizontal="left" vertical="center" wrapText="1"/>
    </xf>
    <xf numFmtId="0" fontId="13" fillId="19" borderId="65" xfId="0" applyFont="1" applyFill="1" applyBorder="1" applyAlignment="1">
      <alignment horizontal="left" vertical="center" wrapText="1"/>
    </xf>
    <xf numFmtId="0" fontId="13" fillId="19" borderId="63" xfId="0" applyFont="1" applyFill="1" applyBorder="1" applyAlignment="1">
      <alignment horizontal="left" vertical="center" wrapText="1"/>
    </xf>
    <xf numFmtId="0" fontId="13" fillId="19" borderId="64" xfId="0" applyFont="1" applyFill="1" applyBorder="1" applyAlignment="1">
      <alignment horizontal="left" vertical="center" wrapText="1"/>
    </xf>
    <xf numFmtId="0" fontId="14" fillId="19" borderId="63" xfId="0" applyFont="1" applyFill="1" applyBorder="1" applyAlignment="1">
      <alignment horizontal="left" vertical="center" wrapText="1"/>
    </xf>
    <xf numFmtId="0" fontId="14" fillId="19" borderId="64" xfId="0" applyFont="1" applyFill="1" applyBorder="1" applyAlignment="1">
      <alignment horizontal="left" vertical="center" wrapText="1"/>
    </xf>
    <xf numFmtId="0" fontId="14" fillId="19" borderId="65" xfId="0" applyFont="1" applyFill="1" applyBorder="1" applyAlignment="1">
      <alignment horizontal="left" vertical="center" wrapText="1"/>
    </xf>
    <xf numFmtId="0" fontId="13" fillId="19" borderId="66" xfId="0" applyFont="1" applyFill="1" applyBorder="1" applyAlignment="1">
      <alignment horizontal="left" vertical="center" wrapText="1"/>
    </xf>
    <xf numFmtId="0" fontId="13" fillId="19" borderId="67" xfId="0" applyFont="1" applyFill="1" applyBorder="1" applyAlignment="1">
      <alignment horizontal="left" vertical="center" wrapText="1"/>
    </xf>
    <xf numFmtId="0" fontId="13" fillId="19" borderId="68" xfId="0" applyFont="1" applyFill="1" applyBorder="1" applyAlignment="1">
      <alignment horizontal="left" vertical="center" wrapText="1"/>
    </xf>
    <xf numFmtId="4" fontId="8" fillId="12" borderId="85" xfId="0" applyNumberFormat="1" applyFont="1" applyFill="1" applyBorder="1" applyAlignment="1">
      <alignment horizontal="center" vertical="center" wrapText="1"/>
    </xf>
    <xf numFmtId="4" fontId="8" fillId="12" borderId="51" xfId="0" applyNumberFormat="1" applyFont="1" applyFill="1" applyBorder="1" applyAlignment="1">
      <alignment horizontal="center" vertical="center" wrapText="1"/>
    </xf>
    <xf numFmtId="4" fontId="8" fillId="12" borderId="21" xfId="0" applyNumberFormat="1" applyFont="1" applyFill="1" applyBorder="1" applyAlignment="1">
      <alignment horizontal="center" vertical="center" wrapText="1"/>
    </xf>
    <xf numFmtId="4" fontId="3" fillId="5" borderId="84" xfId="4" applyNumberFormat="1" applyBorder="1" applyAlignment="1">
      <alignment horizontal="center" vertical="center" wrapText="1"/>
    </xf>
    <xf numFmtId="4" fontId="3" fillId="5" borderId="50" xfId="4" applyNumberFormat="1" applyBorder="1" applyAlignment="1">
      <alignment horizontal="center" vertical="center" wrapText="1"/>
    </xf>
    <xf numFmtId="4" fontId="3" fillId="5" borderId="20" xfId="4" applyNumberFormat="1" applyBorder="1" applyAlignment="1">
      <alignment horizontal="center" vertical="center" wrapText="1"/>
    </xf>
    <xf numFmtId="4" fontId="1" fillId="5" borderId="84" xfId="4" applyNumberFormat="1" applyFont="1" applyBorder="1" applyAlignment="1">
      <alignment horizontal="center" vertical="center" wrapText="1"/>
    </xf>
    <xf numFmtId="4" fontId="1" fillId="5" borderId="50" xfId="4" applyNumberFormat="1" applyFont="1" applyBorder="1" applyAlignment="1">
      <alignment horizontal="center" vertical="center" wrapText="1"/>
    </xf>
    <xf numFmtId="4" fontId="1" fillId="5" borderId="20" xfId="4" applyNumberFormat="1" applyFont="1" applyBorder="1" applyAlignment="1">
      <alignment horizontal="center" vertical="center" wrapText="1"/>
    </xf>
    <xf numFmtId="4" fontId="3" fillId="3" borderId="84" xfId="2" applyNumberFormat="1" applyBorder="1" applyAlignment="1">
      <alignment horizontal="center" vertical="center" wrapText="1"/>
    </xf>
    <xf numFmtId="4" fontId="3" fillId="3" borderId="50" xfId="2" applyNumberFormat="1" applyBorder="1" applyAlignment="1">
      <alignment horizontal="center" vertical="center" wrapText="1"/>
    </xf>
    <xf numFmtId="4" fontId="3" fillId="3" borderId="20" xfId="2" applyNumberFormat="1" applyBorder="1" applyAlignment="1">
      <alignment horizontal="center" vertical="center" wrapText="1"/>
    </xf>
    <xf numFmtId="4" fontId="1" fillId="3" borderId="84" xfId="2" applyNumberFormat="1" applyFont="1" applyBorder="1" applyAlignment="1">
      <alignment horizontal="center" vertical="center" wrapText="1"/>
    </xf>
    <xf numFmtId="4" fontId="1" fillId="3" borderId="50" xfId="2" applyNumberFormat="1" applyFont="1" applyBorder="1" applyAlignment="1">
      <alignment horizontal="center" vertical="center" wrapText="1"/>
    </xf>
    <xf numFmtId="4" fontId="1" fillId="3" borderId="20" xfId="2" applyNumberFormat="1" applyFont="1" applyBorder="1" applyAlignment="1">
      <alignment horizontal="center" vertical="center" wrapText="1"/>
    </xf>
    <xf numFmtId="4" fontId="1" fillId="0" borderId="84" xfId="0" applyNumberFormat="1" applyFont="1" applyBorder="1" applyAlignment="1" applyProtection="1">
      <alignment horizontal="center" vertical="center" wrapText="1"/>
      <protection locked="0"/>
    </xf>
    <xf numFmtId="4" fontId="1" fillId="0" borderId="50" xfId="0" applyNumberFormat="1" applyFont="1" applyBorder="1" applyAlignment="1" applyProtection="1">
      <alignment horizontal="center" vertical="center" wrapText="1"/>
      <protection locked="0"/>
    </xf>
    <xf numFmtId="4" fontId="1" fillId="0" borderId="20" xfId="0" applyNumberFormat="1" applyFont="1" applyBorder="1" applyAlignment="1" applyProtection="1">
      <alignment horizontal="center" vertical="center" wrapText="1"/>
      <protection locked="0"/>
    </xf>
    <xf numFmtId="0" fontId="1" fillId="13" borderId="0" xfId="0" applyFont="1" applyFill="1" applyAlignment="1">
      <alignment horizontal="left" vertical="center" wrapText="1"/>
    </xf>
    <xf numFmtId="0" fontId="9" fillId="13" borderId="23" xfId="0" applyFont="1" applyFill="1" applyBorder="1" applyAlignment="1">
      <alignment horizontal="left" vertical="center" wrapText="1"/>
    </xf>
    <xf numFmtId="0" fontId="9" fillId="13" borderId="24" xfId="0" applyFont="1" applyFill="1" applyBorder="1" applyAlignment="1">
      <alignment horizontal="left" vertical="center" wrapText="1"/>
    </xf>
    <xf numFmtId="164" fontId="17" fillId="20" borderId="25" xfId="0" applyNumberFormat="1" applyFont="1" applyFill="1" applyBorder="1" applyAlignment="1">
      <alignment horizontal="center" vertical="center" wrapText="1"/>
    </xf>
    <xf numFmtId="164" fontId="17" fillId="20" borderId="30" xfId="0" applyNumberFormat="1" applyFont="1" applyFill="1" applyBorder="1" applyAlignment="1">
      <alignment horizontal="center" vertical="center" wrapText="1"/>
    </xf>
    <xf numFmtId="0" fontId="22" fillId="28" borderId="23" xfId="0" applyFont="1" applyFill="1" applyBorder="1" applyAlignment="1">
      <alignment horizontal="center" vertical="center" wrapText="1"/>
    </xf>
    <xf numFmtId="0" fontId="22" fillId="28" borderId="24" xfId="0" applyFont="1" applyFill="1" applyBorder="1" applyAlignment="1">
      <alignment horizontal="center" vertical="center" wrapText="1"/>
    </xf>
    <xf numFmtId="0" fontId="22" fillId="28" borderId="25" xfId="0" applyFont="1" applyFill="1" applyBorder="1" applyAlignment="1">
      <alignment horizontal="center" vertical="center" wrapText="1"/>
    </xf>
    <xf numFmtId="0" fontId="22" fillId="28" borderId="28" xfId="0" applyFont="1" applyFill="1" applyBorder="1" applyAlignment="1">
      <alignment horizontal="center" vertical="center" wrapText="1"/>
    </xf>
    <xf numFmtId="0" fontId="22" fillId="28" borderId="29" xfId="0" applyFont="1" applyFill="1" applyBorder="1" applyAlignment="1">
      <alignment horizontal="center" vertical="center" wrapText="1"/>
    </xf>
    <xf numFmtId="0" fontId="22" fillId="28" borderId="30" xfId="0" applyFont="1" applyFill="1" applyBorder="1" applyAlignment="1">
      <alignment horizontal="center" vertical="center" wrapText="1"/>
    </xf>
    <xf numFmtId="4" fontId="0" fillId="14" borderId="84" xfId="0" applyNumberFormat="1" applyFill="1" applyBorder="1" applyAlignment="1">
      <alignment horizontal="center" vertical="center" wrapText="1"/>
    </xf>
    <xf numFmtId="4" fontId="0" fillId="14" borderId="50" xfId="0" applyNumberFormat="1" applyFill="1" applyBorder="1" applyAlignment="1">
      <alignment horizontal="center" vertical="center" wrapText="1"/>
    </xf>
    <xf numFmtId="4" fontId="0" fillId="14" borderId="20" xfId="0" applyNumberFormat="1" applyFill="1" applyBorder="1" applyAlignment="1">
      <alignment horizontal="center" vertical="center" wrapText="1"/>
    </xf>
    <xf numFmtId="4" fontId="0" fillId="0" borderId="84" xfId="0" applyNumberFormat="1" applyBorder="1" applyAlignment="1">
      <alignment horizontal="center" vertical="center" wrapText="1"/>
    </xf>
    <xf numFmtId="4" fontId="0" fillId="0" borderId="50" xfId="0" applyNumberForma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 wrapText="1"/>
    </xf>
    <xf numFmtId="0" fontId="1" fillId="14" borderId="38" xfId="0" applyFont="1" applyFill="1" applyBorder="1" applyAlignment="1">
      <alignment horizontal="center" vertical="center" wrapText="1"/>
    </xf>
    <xf numFmtId="0" fontId="1" fillId="14" borderId="14" xfId="0" applyFont="1" applyFill="1" applyBorder="1" applyAlignment="1">
      <alignment horizontal="center" vertical="center" wrapText="1"/>
    </xf>
    <xf numFmtId="0" fontId="1" fillId="14" borderId="41" xfId="0" applyFont="1" applyFill="1" applyBorder="1" applyAlignment="1">
      <alignment horizontal="center" vertical="center" wrapText="1"/>
    </xf>
  </cellXfs>
  <cellStyles count="5">
    <cellStyle name="60% - Έμφαση1" xfId="1" builtinId="32"/>
    <cellStyle name="60% - Έμφαση2" xfId="2" builtinId="36"/>
    <cellStyle name="60% - Έμφαση3" xfId="3" builtinId="40"/>
    <cellStyle name="60% - Έμφαση6" xfId="4" builtinId="52"/>
    <cellStyle name="Κανονικό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CCFF33"/>
      <color rgb="FF33CC33"/>
      <color rgb="FFFF6600"/>
      <color rgb="FF99CC00"/>
      <color rgb="FFCCCC00"/>
      <color rgb="FF669900"/>
      <color rgb="FF008000"/>
      <color rgb="FF99FF33"/>
      <color rgb="FF66FF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$C$22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fmlaLink="$G$6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checked="Checked" lockText="1" noThreeD="1"/>
</file>

<file path=xl/ctrlProps/ctrlProp17.xml><?xml version="1.0" encoding="utf-8"?>
<formControlPr xmlns="http://schemas.microsoft.com/office/spreadsheetml/2009/9/main" objectType="CheckBox" fmlaLink="$M$15" lockText="1" noThreeD="1"/>
</file>

<file path=xl/ctrlProps/ctrlProp18.xml><?xml version="1.0" encoding="utf-8"?>
<formControlPr xmlns="http://schemas.microsoft.com/office/spreadsheetml/2009/9/main" objectType="CheckBox" checked="Checked" fmlaLink="$M$16" lockText="1" noThreeD="1"/>
</file>

<file path=xl/ctrlProps/ctrlProp19.xml><?xml version="1.0" encoding="utf-8"?>
<formControlPr xmlns="http://schemas.microsoft.com/office/spreadsheetml/2009/9/main" objectType="CheckBox" fmlaLink="$M$17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checked="Checked" fmlaLink="$M$18" lockText="1" noThreeD="1"/>
</file>

<file path=xl/ctrlProps/ctrlProp21.xml><?xml version="1.0" encoding="utf-8"?>
<formControlPr xmlns="http://schemas.microsoft.com/office/spreadsheetml/2009/9/main" objectType="CheckBox" fmlaLink="$M$19" lockText="1" noThreeD="1"/>
</file>

<file path=xl/ctrlProps/ctrlProp22.xml><?xml version="1.0" encoding="utf-8"?>
<formControlPr xmlns="http://schemas.microsoft.com/office/spreadsheetml/2009/9/main" objectType="CheckBox" fmlaLink="$M$20" lockText="1" noThreeD="1"/>
</file>

<file path=xl/ctrlProps/ctrlProp23.xml><?xml version="1.0" encoding="utf-8"?>
<formControlPr xmlns="http://schemas.microsoft.com/office/spreadsheetml/2009/9/main" objectType="CheckBox" fmlaLink="$M$21" lockText="1" noThreeD="1"/>
</file>

<file path=xl/ctrlProps/ctrlProp24.xml><?xml version="1.0" encoding="utf-8"?>
<formControlPr xmlns="http://schemas.microsoft.com/office/spreadsheetml/2009/9/main" objectType="CheckBox" fmlaLink="$M$22" lockText="1" noThreeD="1"/>
</file>

<file path=xl/ctrlProps/ctrlProp25.xml><?xml version="1.0" encoding="utf-8"?>
<formControlPr xmlns="http://schemas.microsoft.com/office/spreadsheetml/2009/9/main" objectType="CheckBox" fmlaLink="$M$23" lockText="1" noThreeD="1"/>
</file>

<file path=xl/ctrlProps/ctrlProp26.xml><?xml version="1.0" encoding="utf-8"?>
<formControlPr xmlns="http://schemas.microsoft.com/office/spreadsheetml/2009/9/main" objectType="CheckBox" fmlaLink="$M$24" lockText="1" noThreeD="1"/>
</file>

<file path=xl/ctrlProps/ctrlProp27.xml><?xml version="1.0" encoding="utf-8"?>
<formControlPr xmlns="http://schemas.microsoft.com/office/spreadsheetml/2009/9/main" objectType="Radio" checked="Checked" firstButton="1" fmlaLink="$Q$3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CheckBox" fmlaLink="$M$14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30.xml><?xml version="1.0" encoding="utf-8"?>
<formControlPr xmlns="http://schemas.microsoft.com/office/spreadsheetml/2009/9/main" objectType="CheckBox" fmlaLink="$M$14" lockText="1" noThreeD="1"/>
</file>

<file path=xl/ctrlProps/ctrlProp31.xml><?xml version="1.0" encoding="utf-8"?>
<formControlPr xmlns="http://schemas.microsoft.com/office/spreadsheetml/2009/9/main" objectType="CheckBox" fmlaLink="$M$15" lockText="1" noThreeD="1"/>
</file>

<file path=xl/ctrlProps/ctrlProp32.xml><?xml version="1.0" encoding="utf-8"?>
<formControlPr xmlns="http://schemas.microsoft.com/office/spreadsheetml/2009/9/main" objectType="CheckBox" checked="Checked" fmlaLink="$M$16" lockText="1" noThreeD="1"/>
</file>

<file path=xl/ctrlProps/ctrlProp33.xml><?xml version="1.0" encoding="utf-8"?>
<formControlPr xmlns="http://schemas.microsoft.com/office/spreadsheetml/2009/9/main" objectType="CheckBox" fmlaLink="$M$17" lockText="1" noThreeD="1"/>
</file>

<file path=xl/ctrlProps/ctrlProp34.xml><?xml version="1.0" encoding="utf-8"?>
<formControlPr xmlns="http://schemas.microsoft.com/office/spreadsheetml/2009/9/main" objectType="CheckBox" checked="Checked" fmlaLink="$M$18" lockText="1" noThreeD="1"/>
</file>

<file path=xl/ctrlProps/ctrlProp35.xml><?xml version="1.0" encoding="utf-8"?>
<formControlPr xmlns="http://schemas.microsoft.com/office/spreadsheetml/2009/9/main" objectType="CheckBox" fmlaLink="$M$19" lockText="1" noThreeD="1"/>
</file>

<file path=xl/ctrlProps/ctrlProp36.xml><?xml version="1.0" encoding="utf-8"?>
<formControlPr xmlns="http://schemas.microsoft.com/office/spreadsheetml/2009/9/main" objectType="CheckBox" fmlaLink="$M$20" lockText="1" noThreeD="1"/>
</file>

<file path=xl/ctrlProps/ctrlProp37.xml><?xml version="1.0" encoding="utf-8"?>
<formControlPr xmlns="http://schemas.microsoft.com/office/spreadsheetml/2009/9/main" objectType="CheckBox" fmlaLink="$M$21" lockText="1" noThreeD="1"/>
</file>

<file path=xl/ctrlProps/ctrlProp38.xml><?xml version="1.0" encoding="utf-8"?>
<formControlPr xmlns="http://schemas.microsoft.com/office/spreadsheetml/2009/9/main" objectType="CheckBox" fmlaLink="$M$22" lockText="1" noThreeD="1"/>
</file>

<file path=xl/ctrlProps/ctrlProp39.xml><?xml version="1.0" encoding="utf-8"?>
<formControlPr xmlns="http://schemas.microsoft.com/office/spreadsheetml/2009/9/main" objectType="CheckBox" fmlaLink="$M$23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CheckBox" fmlaLink="$M$24" lockText="1" noThreeD="1"/>
</file>

<file path=xl/ctrlProps/ctrlProp41.xml><?xml version="1.0" encoding="utf-8"?>
<formControlPr xmlns="http://schemas.microsoft.com/office/spreadsheetml/2009/9/main" objectType="Radio" firstButton="1" fmlaLink="$Q$3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checked="Checked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6</xdr:row>
          <xdr:rowOff>144780</xdr:rowOff>
        </xdr:from>
        <xdr:to>
          <xdr:col>2</xdr:col>
          <xdr:colOff>403860</xdr:colOff>
          <xdr:row>8</xdr:row>
          <xdr:rowOff>30480</xdr:rowOff>
        </xdr:to>
        <xdr:sp macro="" textlink="">
          <xdr:nvSpPr>
            <xdr:cNvPr id="3106" name="Option Button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7</xdr:row>
          <xdr:rowOff>137160</xdr:rowOff>
        </xdr:from>
        <xdr:to>
          <xdr:col>2</xdr:col>
          <xdr:colOff>403860</xdr:colOff>
          <xdr:row>9</xdr:row>
          <xdr:rowOff>30480</xdr:rowOff>
        </xdr:to>
        <xdr:sp macro="" textlink="">
          <xdr:nvSpPr>
            <xdr:cNvPr id="3107" name="Option Button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8</xdr:row>
          <xdr:rowOff>137160</xdr:rowOff>
        </xdr:from>
        <xdr:to>
          <xdr:col>2</xdr:col>
          <xdr:colOff>403860</xdr:colOff>
          <xdr:row>10</xdr:row>
          <xdr:rowOff>30480</xdr:rowOff>
        </xdr:to>
        <xdr:sp macro="" textlink="">
          <xdr:nvSpPr>
            <xdr:cNvPr id="3108" name="Option Button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9</xdr:row>
          <xdr:rowOff>137160</xdr:rowOff>
        </xdr:from>
        <xdr:to>
          <xdr:col>2</xdr:col>
          <xdr:colOff>403860</xdr:colOff>
          <xdr:row>11</xdr:row>
          <xdr:rowOff>30480</xdr:rowOff>
        </xdr:to>
        <xdr:sp macro="" textlink="">
          <xdr:nvSpPr>
            <xdr:cNvPr id="3109" name="Option Button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11</xdr:row>
          <xdr:rowOff>137160</xdr:rowOff>
        </xdr:from>
        <xdr:to>
          <xdr:col>2</xdr:col>
          <xdr:colOff>403860</xdr:colOff>
          <xdr:row>13</xdr:row>
          <xdr:rowOff>30480</xdr:rowOff>
        </xdr:to>
        <xdr:sp macro="" textlink="">
          <xdr:nvSpPr>
            <xdr:cNvPr id="3111" name="Option Button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12</xdr:row>
          <xdr:rowOff>137160</xdr:rowOff>
        </xdr:from>
        <xdr:to>
          <xdr:col>2</xdr:col>
          <xdr:colOff>403860</xdr:colOff>
          <xdr:row>14</xdr:row>
          <xdr:rowOff>30480</xdr:rowOff>
        </xdr:to>
        <xdr:sp macro="" textlink="">
          <xdr:nvSpPr>
            <xdr:cNvPr id="3112" name="Option Button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13</xdr:row>
          <xdr:rowOff>137160</xdr:rowOff>
        </xdr:from>
        <xdr:to>
          <xdr:col>2</xdr:col>
          <xdr:colOff>403860</xdr:colOff>
          <xdr:row>15</xdr:row>
          <xdr:rowOff>30480</xdr:rowOff>
        </xdr:to>
        <xdr:sp macro="" textlink="">
          <xdr:nvSpPr>
            <xdr:cNvPr id="3113" name="Option Button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14</xdr:row>
          <xdr:rowOff>137160</xdr:rowOff>
        </xdr:from>
        <xdr:to>
          <xdr:col>2</xdr:col>
          <xdr:colOff>403860</xdr:colOff>
          <xdr:row>16</xdr:row>
          <xdr:rowOff>30480</xdr:rowOff>
        </xdr:to>
        <xdr:sp macro="" textlink="">
          <xdr:nvSpPr>
            <xdr:cNvPr id="3114" name="Option Button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16</xdr:row>
          <xdr:rowOff>137160</xdr:rowOff>
        </xdr:from>
        <xdr:to>
          <xdr:col>2</xdr:col>
          <xdr:colOff>403860</xdr:colOff>
          <xdr:row>18</xdr:row>
          <xdr:rowOff>30480</xdr:rowOff>
        </xdr:to>
        <xdr:sp macro="" textlink="">
          <xdr:nvSpPr>
            <xdr:cNvPr id="3116" name="Option Button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0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17</xdr:row>
          <xdr:rowOff>137160</xdr:rowOff>
        </xdr:from>
        <xdr:to>
          <xdr:col>2</xdr:col>
          <xdr:colOff>403860</xdr:colOff>
          <xdr:row>19</xdr:row>
          <xdr:rowOff>30480</xdr:rowOff>
        </xdr:to>
        <xdr:sp macro="" textlink="">
          <xdr:nvSpPr>
            <xdr:cNvPr id="3117" name="Option Button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0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18</xdr:row>
          <xdr:rowOff>137160</xdr:rowOff>
        </xdr:from>
        <xdr:to>
          <xdr:col>2</xdr:col>
          <xdr:colOff>403860</xdr:colOff>
          <xdr:row>20</xdr:row>
          <xdr:rowOff>30480</xdr:rowOff>
        </xdr:to>
        <xdr:sp macro="" textlink="">
          <xdr:nvSpPr>
            <xdr:cNvPr id="3118" name="Option Button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0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19</xdr:row>
          <xdr:rowOff>137160</xdr:rowOff>
        </xdr:from>
        <xdr:to>
          <xdr:col>2</xdr:col>
          <xdr:colOff>403860</xdr:colOff>
          <xdr:row>21</xdr:row>
          <xdr:rowOff>22860</xdr:rowOff>
        </xdr:to>
        <xdr:sp macro="" textlink="">
          <xdr:nvSpPr>
            <xdr:cNvPr id="3119" name="Option Button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3</xdr:row>
          <xdr:rowOff>190500</xdr:rowOff>
        </xdr:from>
        <xdr:to>
          <xdr:col>6</xdr:col>
          <xdr:colOff>0</xdr:colOff>
          <xdr:row>7</xdr:row>
          <xdr:rowOff>7620</xdr:rowOff>
        </xdr:to>
        <xdr:sp macro="" textlink="">
          <xdr:nvSpPr>
            <xdr:cNvPr id="3134" name="Group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0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312420</xdr:colOff>
          <xdr:row>4</xdr:row>
          <xdr:rowOff>121920</xdr:rowOff>
        </xdr:from>
        <xdr:to>
          <xdr:col>3</xdr:col>
          <xdr:colOff>609600</xdr:colOff>
          <xdr:row>6</xdr:row>
          <xdr:rowOff>60960</xdr:rowOff>
        </xdr:to>
        <xdr:sp macro="" textlink="">
          <xdr:nvSpPr>
            <xdr:cNvPr id="3135" name="Option Button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0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4</xdr:row>
          <xdr:rowOff>121920</xdr:rowOff>
        </xdr:from>
        <xdr:to>
          <xdr:col>4</xdr:col>
          <xdr:colOff>525780</xdr:colOff>
          <xdr:row>6</xdr:row>
          <xdr:rowOff>60960</xdr:rowOff>
        </xdr:to>
        <xdr:sp macro="" textlink="">
          <xdr:nvSpPr>
            <xdr:cNvPr id="3136" name="Option Button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0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4</xdr:row>
          <xdr:rowOff>121920</xdr:rowOff>
        </xdr:from>
        <xdr:to>
          <xdr:col>5</xdr:col>
          <xdr:colOff>518160</xdr:colOff>
          <xdr:row>6</xdr:row>
          <xdr:rowOff>60960</xdr:rowOff>
        </xdr:to>
        <xdr:sp macro="" textlink="">
          <xdr:nvSpPr>
            <xdr:cNvPr id="3137" name="Option Button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0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487680</xdr:colOff>
          <xdr:row>13</xdr:row>
          <xdr:rowOff>152400</xdr:rowOff>
        </xdr:from>
        <xdr:to>
          <xdr:col>14</xdr:col>
          <xdr:colOff>76200</xdr:colOff>
          <xdr:row>14</xdr:row>
          <xdr:rowOff>175260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487680</xdr:colOff>
          <xdr:row>14</xdr:row>
          <xdr:rowOff>160020</xdr:rowOff>
        </xdr:from>
        <xdr:to>
          <xdr:col>14</xdr:col>
          <xdr:colOff>76200</xdr:colOff>
          <xdr:row>15</xdr:row>
          <xdr:rowOff>182880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487680</xdr:colOff>
          <xdr:row>15</xdr:row>
          <xdr:rowOff>160020</xdr:rowOff>
        </xdr:from>
        <xdr:to>
          <xdr:col>14</xdr:col>
          <xdr:colOff>76200</xdr:colOff>
          <xdr:row>17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487680</xdr:colOff>
          <xdr:row>16</xdr:row>
          <xdr:rowOff>160020</xdr:rowOff>
        </xdr:from>
        <xdr:to>
          <xdr:col>14</xdr:col>
          <xdr:colOff>76200</xdr:colOff>
          <xdr:row>18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487680</xdr:colOff>
          <xdr:row>17</xdr:row>
          <xdr:rowOff>160020</xdr:rowOff>
        </xdr:from>
        <xdr:to>
          <xdr:col>14</xdr:col>
          <xdr:colOff>76200</xdr:colOff>
          <xdr:row>18</xdr:row>
          <xdr:rowOff>190500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487680</xdr:colOff>
          <xdr:row>18</xdr:row>
          <xdr:rowOff>175260</xdr:rowOff>
        </xdr:from>
        <xdr:to>
          <xdr:col>14</xdr:col>
          <xdr:colOff>76200</xdr:colOff>
          <xdr:row>20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487680</xdr:colOff>
          <xdr:row>19</xdr:row>
          <xdr:rowOff>175260</xdr:rowOff>
        </xdr:from>
        <xdr:to>
          <xdr:col>14</xdr:col>
          <xdr:colOff>76200</xdr:colOff>
          <xdr:row>21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487680</xdr:colOff>
          <xdr:row>20</xdr:row>
          <xdr:rowOff>160020</xdr:rowOff>
        </xdr:from>
        <xdr:to>
          <xdr:col>14</xdr:col>
          <xdr:colOff>76200</xdr:colOff>
          <xdr:row>22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487680</xdr:colOff>
          <xdr:row>21</xdr:row>
          <xdr:rowOff>160020</xdr:rowOff>
        </xdr:from>
        <xdr:to>
          <xdr:col>14</xdr:col>
          <xdr:colOff>76200</xdr:colOff>
          <xdr:row>23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487680</xdr:colOff>
          <xdr:row>22</xdr:row>
          <xdr:rowOff>160020</xdr:rowOff>
        </xdr:from>
        <xdr:to>
          <xdr:col>14</xdr:col>
          <xdr:colOff>76200</xdr:colOff>
          <xdr:row>24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40217</xdr:colOff>
      <xdr:row>4</xdr:row>
      <xdr:rowOff>40208</xdr:rowOff>
    </xdr:from>
    <xdr:ext cx="2202783" cy="3223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5383742" y="1611833"/>
              <a:ext cx="2202783" cy="3223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n-US" sz="1100" b="0" i="0">
                        <a:latin typeface="Cambria Math" panose="02040503050406030204" pitchFamily="18" charset="0"/>
                      </a:rPr>
                      <m:t>Annual</m:t>
                    </m:r>
                    <m:r>
                      <a:rPr lang="en-US" sz="1100" b="0" i="0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sty m:val="p"/>
                      </m:rPr>
                      <a:rPr lang="en-US" sz="1100" b="0" i="0">
                        <a:latin typeface="Cambria Math" panose="02040503050406030204" pitchFamily="18" charset="0"/>
                      </a:rPr>
                      <m:t>Depreciation</m:t>
                    </m:r>
                    <m:r>
                      <a:rPr lang="en-US" sz="1100" b="0" i="0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sty m:val="p"/>
                      </m:rPr>
                      <a:rPr lang="en-US" sz="1100" b="0" i="0">
                        <a:latin typeface="Cambria Math" panose="02040503050406030204" pitchFamily="18" charset="0"/>
                      </a:rPr>
                      <m:t>Cost</m:t>
                    </m:r>
                    <m:r>
                      <a:rPr lang="el-GR" sz="1100" b="0" i="0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l-GR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𝑆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)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den>
                    </m:f>
                  </m:oMath>
                </m:oMathPara>
              </a14:m>
              <a:endParaRPr lang="el-GR" sz="1100" b="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5383742" y="1611833"/>
              <a:ext cx="2202783" cy="3223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Annual Depreciation Cost</a:t>
              </a:r>
              <a:r>
                <a:rPr lang="el-GR" sz="1100" b="0" i="0">
                  <a:latin typeface="Cambria Math" panose="02040503050406030204" pitchFamily="18" charset="0"/>
                </a:rPr>
                <a:t>=(</a:t>
              </a:r>
              <a:r>
                <a:rPr lang="en-US" sz="1100" b="0" i="0">
                  <a:latin typeface="Cambria Math" panose="02040503050406030204" pitchFamily="18" charset="0"/>
                </a:rPr>
                <a:t>(𝑃−𝑆)</a:t>
              </a:r>
              <a:r>
                <a:rPr lang="el-GR" sz="1100" b="0" i="0">
                  <a:latin typeface="Cambria Math" panose="02040503050406030204" pitchFamily="18" charset="0"/>
                </a:rPr>
                <a:t>)/</a:t>
              </a:r>
              <a:r>
                <a:rPr lang="en-US" sz="1100" b="0" i="0">
                  <a:latin typeface="Cambria Math" panose="02040503050406030204" pitchFamily="18" charset="0"/>
                </a:rPr>
                <a:t>𝑛</a:t>
              </a:r>
              <a:endParaRPr lang="el-GR" sz="1100" b="0"/>
            </a:p>
          </xdr:txBody>
        </xdr:sp>
      </mc:Fallback>
    </mc:AlternateContent>
    <xdr:clientData/>
  </xdr:oneCellAnchor>
  <xdr:oneCellAnchor>
    <xdr:from>
      <xdr:col>5</xdr:col>
      <xdr:colOff>325970</xdr:colOff>
      <xdr:row>9</xdr:row>
      <xdr:rowOff>40215</xdr:rowOff>
    </xdr:from>
    <xdr:ext cx="2955168" cy="3803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 txBox="1"/>
          </xdr:nvSpPr>
          <xdr:spPr>
            <a:xfrm>
              <a:off x="4736045" y="2945340"/>
              <a:ext cx="2955168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l-GR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l-GR" sz="11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  <m:r>
                          <a:rPr lang="en-US" sz="1100" b="0" i="0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S</m:t>
                        </m:r>
                        <m:r>
                          <a:rPr lang="en-US" sz="1100" b="0" i="0">
                            <a:latin typeface="Cambria Math" panose="02040503050406030204" pitchFamily="18" charset="0"/>
                          </a:rPr>
                          <m:t>)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den>
                    </m:f>
                    <m:r>
                      <a:rPr lang="en-US" sz="11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𝑖𝑛𝑡𝑒𝑟𝑒𝑠𝑡</m:t>
                    </m:r>
                    <m:r>
                      <a:rPr lang="el-G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d>
                      <m:dPr>
                        <m:begChr m:val="["/>
                        <m:endChr m:val="]"/>
                        <m:ctrlPr>
                          <a:rPr lang="el-G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d>
                          <m:dPr>
                            <m:ctrlPr>
                              <a:rPr lang="el-G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l-GR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𝑃</m:t>
                                </m:r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∙</m:t>
                                </m:r>
                                <m:d>
                                  <m:d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𝑛</m:t>
                                    </m:r>
                                    <m: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+1</m:t>
                                    </m:r>
                                  </m:e>
                                </m:d>
                              </m:num>
                              <m:den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2</m:t>
                                </m:r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𝑛</m:t>
                                </m:r>
                              </m:den>
                            </m:f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</m:t>
                            </m:r>
                            <m:f>
                              <m:f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𝑆</m:t>
                                </m:r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∙(</m:t>
                                </m:r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𝑛</m:t>
                                </m:r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−1)</m:t>
                                </m:r>
                              </m:num>
                              <m:den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2</m:t>
                                </m:r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𝑛</m:t>
                                </m:r>
                              </m:den>
                            </m:f>
                          </m:e>
                        </m:d>
                      </m:e>
                    </m:d>
                  </m:oMath>
                </m:oMathPara>
              </a14:m>
              <a:endParaRPr lang="el-GR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100-000003000000}"/>
                </a:ext>
              </a:extLst>
            </xdr:cNvPr>
            <xdr:cNvSpPr txBox="1"/>
          </xdr:nvSpPr>
          <xdr:spPr>
            <a:xfrm>
              <a:off x="4736045" y="2945340"/>
              <a:ext cx="2955168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l-GR" sz="1100" i="0">
                  <a:latin typeface="Cambria Math" panose="02040503050406030204" pitchFamily="18" charset="0"/>
                </a:rPr>
                <a:t>(</a:t>
              </a:r>
              <a:r>
                <a:rPr lang="el-GR" sz="1100" b="0" i="0">
                  <a:latin typeface="Cambria Math" panose="02040503050406030204" pitchFamily="18" charset="0"/>
                </a:rPr>
                <a:t>(</a:t>
              </a:r>
              <a:r>
                <a:rPr lang="en-US" sz="1100" b="0" i="0">
                  <a:latin typeface="Cambria Math" panose="02040503050406030204" pitchFamily="18" charset="0"/>
                </a:rPr>
                <a:t>P−S)</a:t>
              </a:r>
              <a:r>
                <a:rPr lang="el-GR" sz="1100" b="0" i="0">
                  <a:latin typeface="Cambria Math" panose="02040503050406030204" pitchFamily="18" charset="0"/>
                </a:rPr>
                <a:t>)/</a:t>
              </a:r>
              <a:r>
                <a:rPr lang="en-US" sz="1100" b="0" i="0">
                  <a:latin typeface="Cambria Math" panose="02040503050406030204" pitchFamily="18" charset="0"/>
                </a:rPr>
                <a:t>𝑛+𝑖𝑛𝑡𝑒𝑟𝑒𝑠𝑡</a:t>
              </a:r>
              <a:r>
                <a:rPr lang="el-G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∙[((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𝑃∙(𝑛+1)</a:t>
              </a:r>
              <a:r>
                <a:rPr lang="el-G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)/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2𝑛+(𝑆∙(𝑛−1))/2𝑛)]</a:t>
              </a:r>
              <a:endParaRPr lang="el-GR" sz="1100"/>
            </a:p>
          </xdr:txBody>
        </xdr:sp>
      </mc:Fallback>
    </mc:AlternateContent>
    <xdr:clientData/>
  </xdr:oneCellAnchor>
  <xdr:oneCellAnchor>
    <xdr:from>
      <xdr:col>13</xdr:col>
      <xdr:colOff>579966</xdr:colOff>
      <xdr:row>5</xdr:row>
      <xdr:rowOff>19050</xdr:rowOff>
    </xdr:from>
    <xdr:ext cx="1466684" cy="3284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 txBox="1"/>
          </xdr:nvSpPr>
          <xdr:spPr>
            <a:xfrm>
              <a:off x="11181291" y="2019300"/>
              <a:ext cx="1466684" cy="3284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l-GR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∙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+1</m:t>
                            </m:r>
                          </m:e>
                        </m:d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∙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−1</m:t>
                            </m:r>
                          </m:e>
                        </m:d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𝑛</m:t>
                        </m:r>
                      </m:den>
                    </m:f>
                  </m:oMath>
                </m:oMathPara>
              </a14:m>
              <a:endParaRPr lang="el-GR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11181291" y="2019300"/>
              <a:ext cx="1466684" cy="3284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l-GR" sz="1100" i="0">
                  <a:latin typeface="Cambria Math" panose="02040503050406030204" pitchFamily="18" charset="0"/>
                </a:rPr>
                <a:t>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𝑃∙(𝑛+1)+𝑆∙(𝑛−1)</a:t>
              </a:r>
              <a:r>
                <a:rPr lang="el-G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</a:t>
              </a:r>
              <a:r>
                <a:rPr lang="en-US" sz="1100" b="0" i="0">
                  <a:latin typeface="Cambria Math" panose="02040503050406030204" pitchFamily="18" charset="0"/>
                </a:rPr>
                <a:t>2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𝑛</a:t>
              </a:r>
              <a:endParaRPr lang="el-GR" sz="1100"/>
            </a:p>
          </xdr:txBody>
        </xdr:sp>
      </mc:Fallback>
    </mc:AlternateContent>
    <xdr:clientData/>
  </xdr:oneCellAnchor>
  <xdr:oneCellAnchor>
    <xdr:from>
      <xdr:col>4</xdr:col>
      <xdr:colOff>344486</xdr:colOff>
      <xdr:row>16</xdr:row>
      <xdr:rowOff>185737</xdr:rowOff>
    </xdr:from>
    <xdr:ext cx="5384038" cy="3515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SpPr txBox="1"/>
          </xdr:nvSpPr>
          <xdr:spPr>
            <a:xfrm>
              <a:off x="3511549" y="5519737"/>
              <a:ext cx="5384038" cy="3515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n-US" sz="1100" b="0" i="0">
                        <a:latin typeface="Cambria Math" panose="02040503050406030204" pitchFamily="18" charset="0"/>
                      </a:rPr>
                      <m:t>Hourly</m:t>
                    </m:r>
                    <m:r>
                      <a:rPr lang="en-US" sz="1100" b="0" i="0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sty m:val="p"/>
                      </m:rPr>
                      <a:rPr lang="en-US" sz="1100" b="0" i="0">
                        <a:latin typeface="Cambria Math" panose="02040503050406030204" pitchFamily="18" charset="0"/>
                      </a:rPr>
                      <m:t>Repair</m:t>
                    </m:r>
                    <m:r>
                      <a:rPr lang="en-US" sz="1100" b="0" i="0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sty m:val="p"/>
                      </m:rPr>
                      <a:rPr lang="en-US" sz="1100" b="0" i="0">
                        <a:latin typeface="Cambria Math" panose="02040503050406030204" pitchFamily="18" charset="0"/>
                      </a:rPr>
                      <m:t>Cost</m:t>
                    </m:r>
                    <m:r>
                      <a:rPr lang="el-GR" sz="1100" b="0" i="0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l-GR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Study</m:t>
                        </m:r>
                        <m:r>
                          <a:rPr lang="en-US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Period</m:t>
                        </m:r>
                      </m:num>
                      <m:den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Financial</m:t>
                        </m:r>
                        <m:r>
                          <a:rPr lang="en-US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Years</m:t>
                        </m:r>
                        <m:r>
                          <a:rPr lang="en-US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Summary</m:t>
                        </m:r>
                      </m:den>
                    </m:f>
                    <m:r>
                      <a:rPr lang="el-GR" sz="11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f>
                      <m:fPr>
                        <m:ctrlPr>
                          <a:rPr lang="el-G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Maintenance</m:t>
                        </m:r>
                        <m:r>
                          <a:rPr lang="en-US" sz="11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Cost</m:t>
                        </m:r>
                        <m:r>
                          <a:rPr lang="en-US" sz="11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during</m:t>
                        </m:r>
                        <m:r>
                          <a:rPr lang="en-US" sz="11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Operating</m:t>
                        </m:r>
                        <m:r>
                          <a:rPr lang="en-US" sz="11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Life</m:t>
                        </m:r>
                      </m:num>
                      <m:den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Operating</m:t>
                        </m:r>
                        <m:r>
                          <a:rPr lang="en-US" sz="11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Hours</m:t>
                        </m:r>
                      </m:den>
                    </m:f>
                  </m:oMath>
                </m:oMathPara>
              </a14:m>
              <a:endParaRPr lang="el-GR" sz="1100" i="0"/>
            </a:p>
          </xdr:txBody>
        </xdr:sp>
      </mc:Choice>
      <mc:Fallback xmlns="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SpPr txBox="1"/>
          </xdr:nvSpPr>
          <xdr:spPr>
            <a:xfrm>
              <a:off x="3511549" y="5519737"/>
              <a:ext cx="5384038" cy="3515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Hourly Repair Cost</a:t>
              </a:r>
              <a:r>
                <a:rPr lang="el-GR" sz="1100" b="0" i="0">
                  <a:latin typeface="Cambria Math" panose="02040503050406030204" pitchFamily="18" charset="0"/>
                </a:rPr>
                <a:t>=(</a:t>
              </a:r>
              <a:r>
                <a:rPr lang="en-US" sz="1100" b="0" i="0">
                  <a:latin typeface="Cambria Math" panose="02040503050406030204" pitchFamily="18" charset="0"/>
                </a:rPr>
                <a:t>Study Period</a:t>
              </a:r>
              <a:r>
                <a:rPr lang="el-GR" sz="1100" b="0" i="0">
                  <a:latin typeface="Cambria Math" panose="02040503050406030204" pitchFamily="18" charset="0"/>
                </a:rPr>
                <a:t>)/(</a:t>
              </a:r>
              <a:r>
                <a:rPr lang="en-US" sz="1100" b="0" i="0">
                  <a:latin typeface="Cambria Math" panose="02040503050406030204" pitchFamily="18" charset="0"/>
                </a:rPr>
                <a:t>Financial Years Summary</a:t>
              </a:r>
              <a:r>
                <a:rPr lang="el-GR" sz="1100" b="0" i="0">
                  <a:latin typeface="Cambria Math" panose="02040503050406030204" pitchFamily="18" charset="0"/>
                </a:rPr>
                <a:t>)</a:t>
              </a:r>
              <a:r>
                <a:rPr lang="el-G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∙(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Maintenance Cost during Operating Life</a:t>
              </a:r>
              <a:r>
                <a:rPr lang="el-G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)/(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Operating Hours</a:t>
              </a:r>
              <a:r>
                <a:rPr lang="el-G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endParaRPr lang="el-GR" sz="1100" i="0"/>
            </a:p>
          </xdr:txBody>
        </xdr:sp>
      </mc:Fallback>
    </mc:AlternateContent>
    <xdr:clientData/>
  </xdr:oneCellAnchor>
  <xdr:twoCellAnchor>
    <xdr:from>
      <xdr:col>4</xdr:col>
      <xdr:colOff>619125</xdr:colOff>
      <xdr:row>24</xdr:row>
      <xdr:rowOff>123825</xdr:rowOff>
    </xdr:from>
    <xdr:to>
      <xdr:col>8</xdr:col>
      <xdr:colOff>542925</xdr:colOff>
      <xdr:row>24</xdr:row>
      <xdr:rowOff>123825</xdr:rowOff>
    </xdr:to>
    <xdr:cxnSp macro="">
      <xdr:nvCxnSpPr>
        <xdr:cNvPr id="17" name="Ευθεία γραμμή σύνδεσης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3571875" y="6991350"/>
          <a:ext cx="3924300" cy="0"/>
        </a:xfrm>
        <a:prstGeom prst="line">
          <a:avLst/>
        </a:prstGeom>
        <a:ln w="38100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638175</xdr:colOff>
      <xdr:row>24</xdr:row>
      <xdr:rowOff>38100</xdr:rowOff>
    </xdr:from>
    <xdr:to>
      <xdr:col>4</xdr:col>
      <xdr:colOff>638175</xdr:colOff>
      <xdr:row>24</xdr:row>
      <xdr:rowOff>133350</xdr:rowOff>
    </xdr:to>
    <xdr:cxnSp macro="">
      <xdr:nvCxnSpPr>
        <xdr:cNvPr id="18" name="Ευθεία γραμμή σύνδεσης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 flipV="1">
          <a:off x="3590925" y="6905625"/>
          <a:ext cx="0" cy="95250"/>
        </a:xfrm>
        <a:prstGeom prst="line">
          <a:avLst/>
        </a:prstGeom>
        <a:ln w="38100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523875</xdr:colOff>
      <xdr:row>22</xdr:row>
      <xdr:rowOff>9525</xdr:rowOff>
    </xdr:from>
    <xdr:to>
      <xdr:col>8</xdr:col>
      <xdr:colOff>523875</xdr:colOff>
      <xdr:row>24</xdr:row>
      <xdr:rowOff>133350</xdr:rowOff>
    </xdr:to>
    <xdr:cxnSp macro="">
      <xdr:nvCxnSpPr>
        <xdr:cNvPr id="19" name="Ευθεία γραμμή σύνδεσης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 flipV="1">
          <a:off x="7477125" y="6477000"/>
          <a:ext cx="0" cy="523875"/>
        </a:xfrm>
        <a:prstGeom prst="line">
          <a:avLst/>
        </a:prstGeom>
        <a:ln w="38100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504825</xdr:colOff>
      <xdr:row>22</xdr:row>
      <xdr:rowOff>0</xdr:rowOff>
    </xdr:from>
    <xdr:to>
      <xdr:col>8</xdr:col>
      <xdr:colOff>1000125</xdr:colOff>
      <xdr:row>22</xdr:row>
      <xdr:rowOff>0</xdr:rowOff>
    </xdr:to>
    <xdr:cxnSp macro="">
      <xdr:nvCxnSpPr>
        <xdr:cNvPr id="20" name="Ευθύγραμμο βέλος σύνδεσης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7458075" y="6467475"/>
          <a:ext cx="495300" cy="0"/>
        </a:xfrm>
        <a:prstGeom prst="straightConnector1">
          <a:avLst/>
        </a:prstGeom>
        <a:ln w="38100"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190499</xdr:colOff>
      <xdr:row>14</xdr:row>
      <xdr:rowOff>119063</xdr:rowOff>
    </xdr:from>
    <xdr:to>
      <xdr:col>16</xdr:col>
      <xdr:colOff>833437</xdr:colOff>
      <xdr:row>23</xdr:row>
      <xdr:rowOff>95250</xdr:rowOff>
    </xdr:to>
    <xdr:sp macro="" textlink="">
      <xdr:nvSpPr>
        <xdr:cNvPr id="5" name="Δεξί άγκιστρ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1799093" y="5036344"/>
          <a:ext cx="642938" cy="1762125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l-G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960120</xdr:colOff>
          <xdr:row>26</xdr:row>
          <xdr:rowOff>182880</xdr:rowOff>
        </xdr:from>
        <xdr:to>
          <xdr:col>17</xdr:col>
          <xdr:colOff>38100</xdr:colOff>
          <xdr:row>28</xdr:row>
          <xdr:rowOff>7620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960120</xdr:colOff>
          <xdr:row>28</xdr:row>
          <xdr:rowOff>175260</xdr:rowOff>
        </xdr:from>
        <xdr:to>
          <xdr:col>17</xdr:col>
          <xdr:colOff>38100</xdr:colOff>
          <xdr:row>30</xdr:row>
          <xdr:rowOff>30480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487680</xdr:colOff>
          <xdr:row>12</xdr:row>
          <xdr:rowOff>160020</xdr:rowOff>
        </xdr:from>
        <xdr:to>
          <xdr:col>14</xdr:col>
          <xdr:colOff>76200</xdr:colOff>
          <xdr:row>14</xdr:row>
          <xdr:rowOff>7620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487680</xdr:colOff>
          <xdr:row>12</xdr:row>
          <xdr:rowOff>175260</xdr:rowOff>
        </xdr:from>
        <xdr:to>
          <xdr:col>14</xdr:col>
          <xdr:colOff>60960</xdr:colOff>
          <xdr:row>14</xdr:row>
          <xdr:rowOff>7620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487680</xdr:colOff>
          <xdr:row>13</xdr:row>
          <xdr:rowOff>152400</xdr:rowOff>
        </xdr:from>
        <xdr:to>
          <xdr:col>14</xdr:col>
          <xdr:colOff>60960</xdr:colOff>
          <xdr:row>14</xdr:row>
          <xdr:rowOff>182880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487680</xdr:colOff>
          <xdr:row>14</xdr:row>
          <xdr:rowOff>160020</xdr:rowOff>
        </xdr:from>
        <xdr:to>
          <xdr:col>14</xdr:col>
          <xdr:colOff>60960</xdr:colOff>
          <xdr:row>15</xdr:row>
          <xdr:rowOff>190500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487680</xdr:colOff>
          <xdr:row>15</xdr:row>
          <xdr:rowOff>160020</xdr:rowOff>
        </xdr:from>
        <xdr:to>
          <xdr:col>14</xdr:col>
          <xdr:colOff>60960</xdr:colOff>
          <xdr:row>16</xdr:row>
          <xdr:rowOff>190500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487680</xdr:colOff>
          <xdr:row>16</xdr:row>
          <xdr:rowOff>160020</xdr:rowOff>
        </xdr:from>
        <xdr:to>
          <xdr:col>14</xdr:col>
          <xdr:colOff>60960</xdr:colOff>
          <xdr:row>18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487680</xdr:colOff>
          <xdr:row>17</xdr:row>
          <xdr:rowOff>160020</xdr:rowOff>
        </xdr:from>
        <xdr:to>
          <xdr:col>14</xdr:col>
          <xdr:colOff>60960</xdr:colOff>
          <xdr:row>18</xdr:row>
          <xdr:rowOff>190500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2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487680</xdr:colOff>
          <xdr:row>18</xdr:row>
          <xdr:rowOff>175260</xdr:rowOff>
        </xdr:from>
        <xdr:to>
          <xdr:col>14</xdr:col>
          <xdr:colOff>60960</xdr:colOff>
          <xdr:row>20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2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487680</xdr:colOff>
          <xdr:row>19</xdr:row>
          <xdr:rowOff>175260</xdr:rowOff>
        </xdr:from>
        <xdr:to>
          <xdr:col>14</xdr:col>
          <xdr:colOff>60960</xdr:colOff>
          <xdr:row>21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2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487680</xdr:colOff>
          <xdr:row>20</xdr:row>
          <xdr:rowOff>160020</xdr:rowOff>
        </xdr:from>
        <xdr:to>
          <xdr:col>14</xdr:col>
          <xdr:colOff>60960</xdr:colOff>
          <xdr:row>22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2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487680</xdr:colOff>
          <xdr:row>21</xdr:row>
          <xdr:rowOff>160020</xdr:rowOff>
        </xdr:from>
        <xdr:to>
          <xdr:col>14</xdr:col>
          <xdr:colOff>60960</xdr:colOff>
          <xdr:row>23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2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487680</xdr:colOff>
          <xdr:row>22</xdr:row>
          <xdr:rowOff>160020</xdr:rowOff>
        </xdr:from>
        <xdr:to>
          <xdr:col>14</xdr:col>
          <xdr:colOff>60960</xdr:colOff>
          <xdr:row>24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2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758557</xdr:colOff>
      <xdr:row>3</xdr:row>
      <xdr:rowOff>23935</xdr:rowOff>
    </xdr:from>
    <xdr:ext cx="1039452" cy="3408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SpPr txBox="1"/>
          </xdr:nvSpPr>
          <xdr:spPr>
            <a:xfrm>
              <a:off x="4830495" y="1297904"/>
              <a:ext cx="1039452" cy="3408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𝐴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𝐹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∙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𝑖</m:t>
                        </m:r>
                      </m:num>
                      <m:den>
                        <m:sSup>
                          <m:sSup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1+</m:t>
                                </m:r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e>
                            </m:d>
                          </m:e>
                          <m:sup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</m:sup>
                        </m:s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−1</m:t>
                        </m:r>
                      </m:den>
                    </m:f>
                  </m:oMath>
                </m:oMathPara>
              </a14:m>
              <a:endParaRPr lang="el-GR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SpPr txBox="1"/>
          </xdr:nvSpPr>
          <xdr:spPr>
            <a:xfrm>
              <a:off x="4830495" y="1297904"/>
              <a:ext cx="1039452" cy="3408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𝐴=(𝐹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∙𝑖)/(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(1+𝑖)^𝑛−1)</a:t>
              </a:r>
              <a:endParaRPr lang="el-GR" sz="1100"/>
            </a:p>
          </xdr:txBody>
        </xdr:sp>
      </mc:Fallback>
    </mc:AlternateContent>
    <xdr:clientData/>
  </xdr:oneCellAnchor>
  <xdr:oneCellAnchor>
    <xdr:from>
      <xdr:col>8</xdr:col>
      <xdr:colOff>76200</xdr:colOff>
      <xdr:row>3</xdr:row>
      <xdr:rowOff>17585</xdr:rowOff>
    </xdr:from>
    <xdr:ext cx="1232902" cy="3524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200-00000F000000}"/>
                </a:ext>
              </a:extLst>
            </xdr:cNvPr>
            <xdr:cNvSpPr txBox="1"/>
          </xdr:nvSpPr>
          <xdr:spPr>
            <a:xfrm>
              <a:off x="7022123" y="1285143"/>
              <a:ext cx="1232902" cy="3524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𝐴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𝑃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∙</m:t>
                        </m:r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1+</m:t>
                                </m:r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𝑖</m:t>
                                </m:r>
                              </m:e>
                            </m:d>
                          </m:e>
                          <m:sup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1+</m:t>
                                </m:r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e>
                            </m:d>
                          </m:e>
                          <m:sup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</m:sup>
                        </m:s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−1</m:t>
                        </m:r>
                      </m:den>
                    </m:f>
                  </m:oMath>
                </m:oMathPara>
              </a14:m>
              <a:endParaRPr lang="el-GR" sz="1100"/>
            </a:p>
          </xdr:txBody>
        </xdr:sp>
      </mc:Choice>
      <mc:Fallback xmlns="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C379900E-2EED-4ADB-B0A0-D5B8ADB7AFE0}"/>
                </a:ext>
              </a:extLst>
            </xdr:cNvPr>
            <xdr:cNvSpPr txBox="1"/>
          </xdr:nvSpPr>
          <xdr:spPr>
            <a:xfrm>
              <a:off x="7022123" y="1285143"/>
              <a:ext cx="1232902" cy="3524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𝐴=𝑃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en-US" sz="1100" b="0" i="0">
                  <a:latin typeface="Cambria Math" panose="02040503050406030204" pitchFamily="18" charset="0"/>
                </a:rPr>
                <a:t>(𝑖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∙(1+𝑖)^𝑛)/(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(1+𝑖)^𝑛−1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l-GR" sz="1100"/>
            </a:p>
          </xdr:txBody>
        </xdr:sp>
      </mc:Fallback>
    </mc:AlternateContent>
    <xdr:clientData/>
  </xdr:oneCellAnchor>
  <xdr:oneCellAnchor>
    <xdr:from>
      <xdr:col>1</xdr:col>
      <xdr:colOff>22713</xdr:colOff>
      <xdr:row>9</xdr:row>
      <xdr:rowOff>4398</xdr:rowOff>
    </xdr:from>
    <xdr:ext cx="3031535" cy="3524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 txBox="1"/>
          </xdr:nvSpPr>
          <xdr:spPr>
            <a:xfrm>
              <a:off x="618026" y="2635679"/>
              <a:ext cx="3031535" cy="3524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n-US" sz="1100" b="0" i="0">
                        <a:latin typeface="Cambria Math" panose="02040503050406030204" pitchFamily="18" charset="0"/>
                      </a:rPr>
                      <m:t>Ownership</m:t>
                    </m:r>
                    <m:r>
                      <a:rPr lang="en-US" sz="1100" b="0" i="0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sty m:val="p"/>
                      </m:rPr>
                      <a:rPr lang="en-US" sz="1100" b="0" i="0">
                        <a:latin typeface="Cambria Math" panose="02040503050406030204" pitchFamily="18" charset="0"/>
                      </a:rPr>
                      <m:t>Cost</m:t>
                    </m:r>
                    <m:r>
                      <a:rPr lang="el-GR" sz="1100" b="0" i="0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𝑃</m:t>
                    </m:r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∙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𝑖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∙</m:t>
                        </m:r>
                        <m:sSup>
                          <m:sSup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1+</m:t>
                                </m:r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e>
                            </m:d>
                          </m:e>
                          <m:sup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1+</m:t>
                                </m:r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e>
                            </m:d>
                          </m:e>
                          <m:sup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</m:sup>
                        </m:s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−1</m:t>
                        </m:r>
                      </m:den>
                    </m:f>
                    <m:r>
                      <a:rPr lang="el-G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−</m:t>
                    </m:r>
                    <m:f>
                      <m:f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𝐹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∙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𝑖</m:t>
                        </m:r>
                      </m:num>
                      <m:den>
                        <m:sSup>
                          <m:sSup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1+</m:t>
                                </m:r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e>
                            </m:d>
                          </m:e>
                          <m:sup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</m:sup>
                        </m:s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−1</m:t>
                        </m:r>
                      </m:den>
                    </m:f>
                  </m:oMath>
                </m:oMathPara>
              </a14:m>
              <a:endParaRPr lang="el-GR" sz="1100">
                <a:latin typeface="Calibri" panose="020F0502020204030204" pitchFamily="34" charset="0"/>
                <a:cs typeface="Calibri" panose="020F0502020204030204" pitchFamily="34" charset="0"/>
              </a:endParaRPr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 txBox="1"/>
          </xdr:nvSpPr>
          <xdr:spPr>
            <a:xfrm>
              <a:off x="618026" y="2635679"/>
              <a:ext cx="3031535" cy="3524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Ownership Cost</a:t>
              </a:r>
              <a:r>
                <a:rPr lang="el-GR" sz="1100" b="0" i="0">
                  <a:latin typeface="Cambria Math" panose="02040503050406030204" pitchFamily="18" charset="0"/>
                </a:rPr>
                <a:t>=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𝑃∙(𝑖∙(1+𝑖)^𝑛)/((1+𝑖)^𝑛−1)</a:t>
              </a:r>
              <a:r>
                <a:rPr lang="el-G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−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(𝐹∙𝑖)/((1+𝑖)^𝑛−1)</a:t>
              </a:r>
              <a:endParaRPr lang="el-GR" sz="1100">
                <a:latin typeface="Calibri" panose="020F0502020204030204" pitchFamily="34" charset="0"/>
                <a:cs typeface="Calibri" panose="020F0502020204030204" pitchFamily="34" charset="0"/>
              </a:endParaRPr>
            </a:p>
          </xdr:txBody>
        </xdr:sp>
      </mc:Fallback>
    </mc:AlternateContent>
    <xdr:clientData/>
  </xdr:oneCellAnchor>
  <xdr:twoCellAnchor>
    <xdr:from>
      <xdr:col>4</xdr:col>
      <xdr:colOff>600075</xdr:colOff>
      <xdr:row>24</xdr:row>
      <xdr:rowOff>114300</xdr:rowOff>
    </xdr:from>
    <xdr:to>
      <xdr:col>8</xdr:col>
      <xdr:colOff>523875</xdr:colOff>
      <xdr:row>24</xdr:row>
      <xdr:rowOff>114300</xdr:rowOff>
    </xdr:to>
    <xdr:cxnSp macro="">
      <xdr:nvCxnSpPr>
        <xdr:cNvPr id="5" name="Ευθεία γραμμή σύνδεσης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3543300" y="6581775"/>
          <a:ext cx="3924300" cy="0"/>
        </a:xfrm>
        <a:prstGeom prst="line">
          <a:avLst/>
        </a:prstGeom>
        <a:ln w="38100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619125</xdr:colOff>
      <xdr:row>24</xdr:row>
      <xdr:rowOff>28575</xdr:rowOff>
    </xdr:from>
    <xdr:to>
      <xdr:col>4</xdr:col>
      <xdr:colOff>619125</xdr:colOff>
      <xdr:row>24</xdr:row>
      <xdr:rowOff>123825</xdr:rowOff>
    </xdr:to>
    <xdr:cxnSp macro="">
      <xdr:nvCxnSpPr>
        <xdr:cNvPr id="9" name="Ευθεία γραμμή σύνδεσης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flipV="1">
          <a:off x="3562350" y="6496050"/>
          <a:ext cx="0" cy="95250"/>
        </a:xfrm>
        <a:prstGeom prst="line">
          <a:avLst/>
        </a:prstGeom>
        <a:ln w="38100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504825</xdr:colOff>
      <xdr:row>22</xdr:row>
      <xdr:rowOff>0</xdr:rowOff>
    </xdr:from>
    <xdr:to>
      <xdr:col>8</xdr:col>
      <xdr:colOff>504825</xdr:colOff>
      <xdr:row>24</xdr:row>
      <xdr:rowOff>123825</xdr:rowOff>
    </xdr:to>
    <xdr:cxnSp macro="">
      <xdr:nvCxnSpPr>
        <xdr:cNvPr id="11" name="Ευθεία γραμμή σύνδεσης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 flipV="1">
          <a:off x="7448550" y="6067425"/>
          <a:ext cx="0" cy="523875"/>
        </a:xfrm>
        <a:prstGeom prst="line">
          <a:avLst/>
        </a:prstGeom>
        <a:ln w="38100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485775</xdr:colOff>
      <xdr:row>21</xdr:row>
      <xdr:rowOff>180975</xdr:rowOff>
    </xdr:from>
    <xdr:to>
      <xdr:col>8</xdr:col>
      <xdr:colOff>981075</xdr:colOff>
      <xdr:row>21</xdr:row>
      <xdr:rowOff>180975</xdr:rowOff>
    </xdr:to>
    <xdr:cxnSp macro="">
      <xdr:nvCxnSpPr>
        <xdr:cNvPr id="16" name="Ευθύγραμμο βέλος σύνδεσης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7429500" y="6057900"/>
          <a:ext cx="495300" cy="0"/>
        </a:xfrm>
        <a:prstGeom prst="straightConnector1">
          <a:avLst/>
        </a:prstGeom>
        <a:ln w="38100"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178591</xdr:colOff>
      <xdr:row>14</xdr:row>
      <xdr:rowOff>130969</xdr:rowOff>
    </xdr:from>
    <xdr:to>
      <xdr:col>16</xdr:col>
      <xdr:colOff>821529</xdr:colOff>
      <xdr:row>23</xdr:row>
      <xdr:rowOff>95250</xdr:rowOff>
    </xdr:to>
    <xdr:sp macro="" textlink="">
      <xdr:nvSpPr>
        <xdr:cNvPr id="21" name="Δεξί άγκιστρο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11775279" y="4643438"/>
          <a:ext cx="642938" cy="1785937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l-G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960120</xdr:colOff>
          <xdr:row>26</xdr:row>
          <xdr:rowOff>182880</xdr:rowOff>
        </xdr:from>
        <xdr:to>
          <xdr:col>17</xdr:col>
          <xdr:colOff>38100</xdr:colOff>
          <xdr:row>28</xdr:row>
          <xdr:rowOff>22860</xdr:rowOff>
        </xdr:to>
        <xdr:sp macro="" textlink="">
          <xdr:nvSpPr>
            <xdr:cNvPr id="2060" name="Option Button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2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960120</xdr:colOff>
          <xdr:row>28</xdr:row>
          <xdr:rowOff>175260</xdr:rowOff>
        </xdr:from>
        <xdr:to>
          <xdr:col>17</xdr:col>
          <xdr:colOff>38100</xdr:colOff>
          <xdr:row>30</xdr:row>
          <xdr:rowOff>30480</xdr:rowOff>
        </xdr:to>
        <xdr:sp macro="" textlink="">
          <xdr:nvSpPr>
            <xdr:cNvPr id="2061" name="Option Button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2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960120</xdr:colOff>
          <xdr:row>26</xdr:row>
          <xdr:rowOff>182880</xdr:rowOff>
        </xdr:from>
        <xdr:to>
          <xdr:col>17</xdr:col>
          <xdr:colOff>38100</xdr:colOff>
          <xdr:row>28</xdr:row>
          <xdr:rowOff>22860</xdr:rowOff>
        </xdr:to>
        <xdr:sp macro="" textlink="">
          <xdr:nvSpPr>
            <xdr:cNvPr id="2062" name="Option Button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2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960120</xdr:colOff>
          <xdr:row>28</xdr:row>
          <xdr:rowOff>175260</xdr:rowOff>
        </xdr:from>
        <xdr:to>
          <xdr:col>17</xdr:col>
          <xdr:colOff>38100</xdr:colOff>
          <xdr:row>30</xdr:row>
          <xdr:rowOff>30480</xdr:rowOff>
        </xdr:to>
        <xdr:sp macro="" textlink="">
          <xdr:nvSpPr>
            <xdr:cNvPr id="2063" name="Option Button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2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619125</xdr:colOff>
      <xdr:row>16</xdr:row>
      <xdr:rowOff>166687</xdr:rowOff>
    </xdr:from>
    <xdr:ext cx="5384038" cy="3515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00000000-0008-0000-0200-00001A000000}"/>
                </a:ext>
              </a:extLst>
            </xdr:cNvPr>
            <xdr:cNvSpPr txBox="1"/>
          </xdr:nvSpPr>
          <xdr:spPr>
            <a:xfrm>
              <a:off x="3559969" y="5095875"/>
              <a:ext cx="5384038" cy="3515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n-US" sz="1100" b="0" i="0">
                        <a:latin typeface="Cambria Math" panose="02040503050406030204" pitchFamily="18" charset="0"/>
                      </a:rPr>
                      <m:t>Hourly</m:t>
                    </m:r>
                    <m:r>
                      <a:rPr lang="en-US" sz="1100" b="0" i="0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sty m:val="p"/>
                      </m:rPr>
                      <a:rPr lang="en-US" sz="1100" b="0" i="0">
                        <a:latin typeface="Cambria Math" panose="02040503050406030204" pitchFamily="18" charset="0"/>
                      </a:rPr>
                      <m:t>Repair</m:t>
                    </m:r>
                    <m:r>
                      <a:rPr lang="en-US" sz="1100" b="0" i="0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sty m:val="p"/>
                      </m:rPr>
                      <a:rPr lang="en-US" sz="1100" b="0" i="0">
                        <a:latin typeface="Cambria Math" panose="02040503050406030204" pitchFamily="18" charset="0"/>
                      </a:rPr>
                      <m:t>Cost</m:t>
                    </m:r>
                    <m:r>
                      <a:rPr lang="el-GR" sz="1100" b="0" i="0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l-GR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Study</m:t>
                        </m:r>
                        <m:r>
                          <a:rPr lang="en-US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Period</m:t>
                        </m:r>
                      </m:num>
                      <m:den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Financial</m:t>
                        </m:r>
                        <m:r>
                          <a:rPr lang="en-US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Years</m:t>
                        </m:r>
                        <m:r>
                          <a:rPr lang="en-US" sz="1100" b="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Summary</m:t>
                        </m:r>
                      </m:den>
                    </m:f>
                    <m:r>
                      <a:rPr lang="el-GR" sz="11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f>
                      <m:fPr>
                        <m:ctrlPr>
                          <a:rPr lang="el-G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Maintenance</m:t>
                        </m:r>
                        <m:r>
                          <a:rPr lang="en-US" sz="11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Cost</m:t>
                        </m:r>
                        <m:r>
                          <a:rPr lang="en-US" sz="11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during</m:t>
                        </m:r>
                        <m:r>
                          <a:rPr lang="en-US" sz="11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Operating</m:t>
                        </m:r>
                        <m:r>
                          <a:rPr lang="en-US" sz="11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Life</m:t>
                        </m:r>
                      </m:num>
                      <m:den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Operating</m:t>
                        </m:r>
                        <m:r>
                          <a:rPr lang="en-US" sz="11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Hours</m:t>
                        </m:r>
                      </m:den>
                    </m:f>
                  </m:oMath>
                </m:oMathPara>
              </a14:m>
              <a:endParaRPr lang="el-GR" sz="1100" i="0"/>
            </a:p>
          </xdr:txBody>
        </xdr:sp>
      </mc:Choice>
      <mc:Fallback xmlns=""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xmlns:a14="http://schemas.microsoft.com/office/drawing/2010/main" xmlns="" id="{837B44E8-64EA-4E80-9A54-54AC103DD289}"/>
                </a:ext>
              </a:extLst>
            </xdr:cNvPr>
            <xdr:cNvSpPr txBox="1"/>
          </xdr:nvSpPr>
          <xdr:spPr>
            <a:xfrm>
              <a:off x="3559969" y="5095875"/>
              <a:ext cx="5384038" cy="3515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Hourly Repair Cost</a:t>
              </a:r>
              <a:r>
                <a:rPr lang="el-GR" sz="1100" b="0" i="0">
                  <a:latin typeface="Cambria Math" panose="02040503050406030204" pitchFamily="18" charset="0"/>
                </a:rPr>
                <a:t>=(</a:t>
              </a:r>
              <a:r>
                <a:rPr lang="en-US" sz="1100" b="0" i="0">
                  <a:latin typeface="Cambria Math" panose="02040503050406030204" pitchFamily="18" charset="0"/>
                </a:rPr>
                <a:t>Study Period</a:t>
              </a:r>
              <a:r>
                <a:rPr lang="el-GR" sz="1100" b="0" i="0">
                  <a:latin typeface="Cambria Math" panose="02040503050406030204" pitchFamily="18" charset="0"/>
                </a:rPr>
                <a:t>)/(</a:t>
              </a:r>
              <a:r>
                <a:rPr lang="en-US" sz="1100" b="0" i="0">
                  <a:latin typeface="Cambria Math" panose="02040503050406030204" pitchFamily="18" charset="0"/>
                </a:rPr>
                <a:t>Financial Years Summary</a:t>
              </a:r>
              <a:r>
                <a:rPr lang="el-GR" sz="1100" b="0" i="0">
                  <a:latin typeface="Cambria Math" panose="02040503050406030204" pitchFamily="18" charset="0"/>
                </a:rPr>
                <a:t>)</a:t>
              </a:r>
              <a:r>
                <a:rPr lang="el-G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∙(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Maintenance Cost during Operating Life</a:t>
              </a:r>
              <a:r>
                <a:rPr lang="el-G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)/(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Operating Hours</a:t>
              </a:r>
              <a:r>
                <a:rPr lang="el-G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endParaRPr lang="el-GR" sz="1100" i="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4.xml"/><Relationship Id="rId13" Type="http://schemas.openxmlformats.org/officeDocument/2006/relationships/ctrlProp" Target="../ctrlProps/ctrlProp39.xml"/><Relationship Id="rId18" Type="http://schemas.openxmlformats.org/officeDocument/2006/relationships/ctrlProp" Target="../ctrlProps/ctrlProp4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3.xml"/><Relationship Id="rId12" Type="http://schemas.openxmlformats.org/officeDocument/2006/relationships/ctrlProp" Target="../ctrlProps/ctrlProp38.xml"/><Relationship Id="rId17" Type="http://schemas.openxmlformats.org/officeDocument/2006/relationships/ctrlProp" Target="../ctrlProps/ctrlProp43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2.xml"/><Relationship Id="rId11" Type="http://schemas.openxmlformats.org/officeDocument/2006/relationships/ctrlProp" Target="../ctrlProps/ctrlProp37.xml"/><Relationship Id="rId5" Type="http://schemas.openxmlformats.org/officeDocument/2006/relationships/ctrlProp" Target="../ctrlProps/ctrlProp31.xml"/><Relationship Id="rId15" Type="http://schemas.openxmlformats.org/officeDocument/2006/relationships/ctrlProp" Target="../ctrlProps/ctrlProp41.xml"/><Relationship Id="rId10" Type="http://schemas.openxmlformats.org/officeDocument/2006/relationships/ctrlProp" Target="../ctrlProps/ctrlProp36.xml"/><Relationship Id="rId4" Type="http://schemas.openxmlformats.org/officeDocument/2006/relationships/ctrlProp" Target="../ctrlProps/ctrlProp30.xml"/><Relationship Id="rId9" Type="http://schemas.openxmlformats.org/officeDocument/2006/relationships/ctrlProp" Target="../ctrlProps/ctrlProp35.xml"/><Relationship Id="rId14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Φύλλο2"/>
  <dimension ref="B1:K23"/>
  <sheetViews>
    <sheetView zoomScaleNormal="100" workbookViewId="0">
      <selection activeCell="G22" sqref="G22"/>
    </sheetView>
  </sheetViews>
  <sheetFormatPr defaultColWidth="13.88671875" defaultRowHeight="14.4" x14ac:dyDescent="0.3"/>
  <cols>
    <col min="1" max="1" width="13.88671875" style="1"/>
    <col min="2" max="2" width="24.6640625" style="1" bestFit="1" customWidth="1"/>
    <col min="3" max="3" width="9.109375" style="1" customWidth="1"/>
    <col min="4" max="4" width="11.33203125" style="1" bestFit="1" customWidth="1"/>
    <col min="5" max="5" width="9.6640625" style="1" customWidth="1"/>
    <col min="6" max="6" width="9.109375" style="1" customWidth="1"/>
    <col min="7" max="7" width="13.88671875" style="1"/>
    <col min="8" max="8" width="22.5546875" style="1" bestFit="1" customWidth="1"/>
    <col min="9" max="16384" width="13.88671875" style="1"/>
  </cols>
  <sheetData>
    <row r="1" spans="2:11" ht="21" customHeight="1" x14ac:dyDescent="0.3">
      <c r="B1" s="200" t="s">
        <v>137</v>
      </c>
      <c r="C1" s="200"/>
      <c r="D1" s="200"/>
      <c r="E1" s="200"/>
      <c r="F1" s="200"/>
    </row>
    <row r="2" spans="2:11" ht="19.2" customHeight="1" x14ac:dyDescent="0.3">
      <c r="B2" s="200"/>
      <c r="C2" s="200"/>
      <c r="D2" s="200"/>
      <c r="E2" s="200"/>
      <c r="F2" s="200"/>
    </row>
    <row r="3" spans="2:11" ht="15" thickBot="1" x14ac:dyDescent="0.35"/>
    <row r="4" spans="2:11" ht="15.75" customHeight="1" thickTop="1" x14ac:dyDescent="0.3">
      <c r="B4" s="210" t="s">
        <v>44</v>
      </c>
      <c r="C4" s="215" t="s">
        <v>45</v>
      </c>
      <c r="D4" s="213" t="s">
        <v>46</v>
      </c>
      <c r="E4" s="213"/>
      <c r="F4" s="214"/>
      <c r="H4" s="201" t="s">
        <v>141</v>
      </c>
      <c r="I4" s="202"/>
      <c r="J4" s="202"/>
      <c r="K4" s="203"/>
    </row>
    <row r="5" spans="2:11" s="2" customFormat="1" x14ac:dyDescent="0.3">
      <c r="B5" s="211"/>
      <c r="C5" s="216"/>
      <c r="D5" s="197" t="s">
        <v>28</v>
      </c>
      <c r="E5" s="114" t="s">
        <v>29</v>
      </c>
      <c r="F5" s="115" t="s">
        <v>30</v>
      </c>
      <c r="H5" s="204"/>
      <c r="I5" s="205"/>
      <c r="J5" s="205"/>
      <c r="K5" s="206"/>
    </row>
    <row r="6" spans="2:11" ht="15" thickBot="1" x14ac:dyDescent="0.35">
      <c r="B6" s="212"/>
      <c r="C6" s="217"/>
      <c r="D6" s="198"/>
      <c r="E6" s="116"/>
      <c r="F6" s="117"/>
      <c r="G6" s="193">
        <v>3</v>
      </c>
      <c r="H6" s="207"/>
      <c r="I6" s="208"/>
      <c r="J6" s="208"/>
      <c r="K6" s="209"/>
    </row>
    <row r="7" spans="2:11" ht="15" thickTop="1" x14ac:dyDescent="0.3">
      <c r="B7" s="118"/>
      <c r="C7" s="119"/>
      <c r="D7" s="194"/>
      <c r="E7" s="195"/>
      <c r="F7" s="196"/>
      <c r="H7" s="173"/>
      <c r="I7" s="174" t="s">
        <v>28</v>
      </c>
      <c r="J7" s="175" t="s">
        <v>29</v>
      </c>
      <c r="K7" s="176" t="s">
        <v>30</v>
      </c>
    </row>
    <row r="8" spans="2:11" x14ac:dyDescent="0.3">
      <c r="B8" s="126" t="s">
        <v>31</v>
      </c>
      <c r="C8" s="127"/>
      <c r="D8" s="121">
        <f>IF(AND($C$22=1,$G$6=1),I8,0)</f>
        <v>0</v>
      </c>
      <c r="E8" s="122">
        <f>IF(AND($C$22=1,$G$6=2),J8,0)</f>
        <v>0</v>
      </c>
      <c r="F8" s="123">
        <f>IF(AND($C$22=1,$G$6=3),K8,0)</f>
        <v>0</v>
      </c>
      <c r="H8" s="126" t="s">
        <v>31</v>
      </c>
      <c r="I8" s="177">
        <v>40</v>
      </c>
      <c r="J8" s="122">
        <v>60</v>
      </c>
      <c r="K8" s="123">
        <v>80</v>
      </c>
    </row>
    <row r="9" spans="2:11" x14ac:dyDescent="0.3">
      <c r="B9" s="128" t="s">
        <v>32</v>
      </c>
      <c r="C9" s="129"/>
      <c r="D9" s="121">
        <f>IF(AND($C$22=2,$G$6=1),I9,0)</f>
        <v>0</v>
      </c>
      <c r="E9" s="122">
        <f>IF(AND($C$22=2,$G$6=2),J9,0)</f>
        <v>0</v>
      </c>
      <c r="F9" s="123">
        <f>IF(AND($C$22=2,$G$6=3),K9,0)</f>
        <v>0</v>
      </c>
      <c r="H9" s="128" t="s">
        <v>32</v>
      </c>
      <c r="I9" s="177">
        <v>60</v>
      </c>
      <c r="J9" s="122">
        <v>70</v>
      </c>
      <c r="K9" s="123">
        <v>90</v>
      </c>
    </row>
    <row r="10" spans="2:11" x14ac:dyDescent="0.3">
      <c r="B10" s="130" t="s">
        <v>33</v>
      </c>
      <c r="C10" s="131"/>
      <c r="D10" s="121">
        <f>IF(AND($C$22=3,$G$6=1),I10,0)</f>
        <v>0</v>
      </c>
      <c r="E10" s="122">
        <f>IF(AND($C$22=3,$G$6=2),J10,0)</f>
        <v>0</v>
      </c>
      <c r="F10" s="123">
        <f>IF(AND($C$22=3,$G$6=3),K10,0)</f>
        <v>60</v>
      </c>
      <c r="H10" s="130" t="s">
        <v>33</v>
      </c>
      <c r="I10" s="177">
        <v>40</v>
      </c>
      <c r="J10" s="122">
        <v>50</v>
      </c>
      <c r="K10" s="123">
        <v>60</v>
      </c>
    </row>
    <row r="11" spans="2:11" x14ac:dyDescent="0.3">
      <c r="B11" s="132" t="s">
        <v>34</v>
      </c>
      <c r="C11" s="133"/>
      <c r="D11" s="121">
        <f>IF(AND($C$22=4,$G$6=1),I11,0)</f>
        <v>0</v>
      </c>
      <c r="E11" s="122">
        <f>IF(AND($C$22=4,$G$6=2),J11,0)</f>
        <v>0</v>
      </c>
      <c r="F11" s="123">
        <f>IF(AND($C$22=4,$G$6=3),K11,0)</f>
        <v>0</v>
      </c>
      <c r="H11" s="132" t="s">
        <v>34</v>
      </c>
      <c r="I11" s="177">
        <v>50</v>
      </c>
      <c r="J11" s="122">
        <v>70</v>
      </c>
      <c r="K11" s="123">
        <v>90</v>
      </c>
    </row>
    <row r="12" spans="2:11" x14ac:dyDescent="0.3">
      <c r="B12" s="134" t="s">
        <v>35</v>
      </c>
      <c r="C12" s="135"/>
      <c r="D12" s="121"/>
      <c r="E12" s="122"/>
      <c r="F12" s="123"/>
      <c r="H12" s="134" t="s">
        <v>35</v>
      </c>
      <c r="I12" s="177"/>
      <c r="J12" s="122"/>
      <c r="K12" s="123"/>
    </row>
    <row r="13" spans="2:11" x14ac:dyDescent="0.3">
      <c r="B13" s="134" t="s">
        <v>41</v>
      </c>
      <c r="C13" s="135"/>
      <c r="D13" s="121">
        <f>IF(AND($C$22=5,$G$6=1),I13,0)</f>
        <v>0</v>
      </c>
      <c r="E13" s="122">
        <f>IF(AND($C$22=5,$G$6=2),J13,0)</f>
        <v>0</v>
      </c>
      <c r="F13" s="123">
        <f>IF(AND($C$22=5,$G$6=3),K13,0)</f>
        <v>0</v>
      </c>
      <c r="H13" s="134" t="s">
        <v>41</v>
      </c>
      <c r="I13" s="177">
        <v>85</v>
      </c>
      <c r="J13" s="122">
        <v>90</v>
      </c>
      <c r="K13" s="123">
        <v>105</v>
      </c>
    </row>
    <row r="14" spans="2:11" x14ac:dyDescent="0.3">
      <c r="B14" s="134" t="s">
        <v>42</v>
      </c>
      <c r="C14" s="135"/>
      <c r="D14" s="121">
        <f>IF(AND($C$22=6,$G$6=1),I14,0)</f>
        <v>0</v>
      </c>
      <c r="E14" s="122">
        <f>IF(AND($C$22=6,$G$6=2),J14,0)</f>
        <v>0</v>
      </c>
      <c r="F14" s="123">
        <f>IF(AND($C$22=6,$G$6=3),K14,0)</f>
        <v>0</v>
      </c>
      <c r="H14" s="134" t="s">
        <v>42</v>
      </c>
      <c r="I14" s="177">
        <v>50</v>
      </c>
      <c r="J14" s="122">
        <v>60</v>
      </c>
      <c r="K14" s="123">
        <v>75</v>
      </c>
    </row>
    <row r="15" spans="2:11" x14ac:dyDescent="0.3">
      <c r="B15" s="136" t="s">
        <v>36</v>
      </c>
      <c r="C15" s="137"/>
      <c r="D15" s="121">
        <f>IF(AND($C$22=7,$G$6=1),I15,0)</f>
        <v>0</v>
      </c>
      <c r="E15" s="122">
        <f>IF(AND($C$22=7,$G$6=2),J15,0)</f>
        <v>0</v>
      </c>
      <c r="F15" s="123">
        <f>IF(AND($C$22=7,$G$6=3),K15,0)</f>
        <v>0</v>
      </c>
      <c r="H15" s="136" t="s">
        <v>36</v>
      </c>
      <c r="I15" s="177">
        <v>45</v>
      </c>
      <c r="J15" s="122">
        <v>50</v>
      </c>
      <c r="K15" s="123">
        <v>55</v>
      </c>
    </row>
    <row r="16" spans="2:11" x14ac:dyDescent="0.3">
      <c r="B16" s="138" t="s">
        <v>37</v>
      </c>
      <c r="C16" s="139"/>
      <c r="D16" s="121">
        <f>IF(AND($C$22=8,$G$6=1),I16,0)</f>
        <v>0</v>
      </c>
      <c r="E16" s="122">
        <f>IF(AND($C$22=8,$G$6=2),J16,0)</f>
        <v>0</v>
      </c>
      <c r="F16" s="123">
        <f>IF(AND($C$22=8,$G$6=3),K16,0)</f>
        <v>0</v>
      </c>
      <c r="H16" s="138" t="s">
        <v>37</v>
      </c>
      <c r="I16" s="177">
        <v>85</v>
      </c>
      <c r="J16" s="122">
        <v>90</v>
      </c>
      <c r="K16" s="123">
        <v>105</v>
      </c>
    </row>
    <row r="17" spans="2:11" x14ac:dyDescent="0.3">
      <c r="B17" s="140" t="s">
        <v>38</v>
      </c>
      <c r="C17" s="141"/>
      <c r="D17" s="121"/>
      <c r="E17" s="122"/>
      <c r="F17" s="123"/>
      <c r="H17" s="140" t="s">
        <v>38</v>
      </c>
      <c r="I17" s="177"/>
      <c r="J17" s="122"/>
      <c r="K17" s="123"/>
    </row>
    <row r="18" spans="2:11" x14ac:dyDescent="0.3">
      <c r="B18" s="140" t="s">
        <v>43</v>
      </c>
      <c r="C18" s="141"/>
      <c r="D18" s="121">
        <f>IF(AND($C$22=9,$G$6=1),I18,0)</f>
        <v>0</v>
      </c>
      <c r="E18" s="122">
        <f>IF(AND($C$22=9,$G$6=2),J18,0)</f>
        <v>0</v>
      </c>
      <c r="F18" s="123">
        <f>IF(AND($C$22=9,$G$6=3),K18,0)</f>
        <v>0</v>
      </c>
      <c r="H18" s="140" t="s">
        <v>43</v>
      </c>
      <c r="I18" s="177">
        <v>85</v>
      </c>
      <c r="J18" s="122">
        <v>90</v>
      </c>
      <c r="K18" s="123">
        <v>95</v>
      </c>
    </row>
    <row r="19" spans="2:11" x14ac:dyDescent="0.3">
      <c r="B19" s="140" t="s">
        <v>42</v>
      </c>
      <c r="C19" s="141"/>
      <c r="D19" s="121">
        <f>IF(AND($C$22=10,$G$6=1),I19,0)</f>
        <v>0</v>
      </c>
      <c r="E19" s="122">
        <f>IF(AND($C$22=10,$G$6=2),J19,0)</f>
        <v>0</v>
      </c>
      <c r="F19" s="123">
        <f>IF(AND($C$22=10,$G$6=3),K19,0)</f>
        <v>0</v>
      </c>
      <c r="H19" s="140" t="s">
        <v>42</v>
      </c>
      <c r="I19" s="177">
        <v>50</v>
      </c>
      <c r="J19" s="122">
        <v>60</v>
      </c>
      <c r="K19" s="123">
        <v>75</v>
      </c>
    </row>
    <row r="20" spans="2:11" x14ac:dyDescent="0.3">
      <c r="B20" s="142" t="s">
        <v>39</v>
      </c>
      <c r="C20" s="143"/>
      <c r="D20" s="121">
        <f>IF(AND($C$22=11,$G$6=1),I20,0)</f>
        <v>0</v>
      </c>
      <c r="E20" s="122">
        <f>IF(AND($C$22=11,$G$6=2),J20,0)</f>
        <v>0</v>
      </c>
      <c r="F20" s="123">
        <f>IF(AND($C$22=11,$G$6=3),K20,0)</f>
        <v>0</v>
      </c>
      <c r="H20" s="142" t="s">
        <v>39</v>
      </c>
      <c r="I20" s="177">
        <v>70</v>
      </c>
      <c r="J20" s="122">
        <v>80</v>
      </c>
      <c r="K20" s="123">
        <v>90</v>
      </c>
    </row>
    <row r="21" spans="2:11" ht="15" thickBot="1" x14ac:dyDescent="0.35">
      <c r="B21" s="144" t="s">
        <v>40</v>
      </c>
      <c r="C21" s="145"/>
      <c r="D21" s="178">
        <f>IF(AND($C$22=12,$G$6=1),I21,0)</f>
        <v>0</v>
      </c>
      <c r="E21" s="124">
        <f>IF(AND($C$22=12,$G$6=2),J21,0)</f>
        <v>0</v>
      </c>
      <c r="F21" s="125">
        <f>IF(AND($C$22=12,$G$6=3),K21,0)</f>
        <v>0</v>
      </c>
      <c r="H21" s="144" t="s">
        <v>40</v>
      </c>
      <c r="I21" s="178">
        <v>45</v>
      </c>
      <c r="J21" s="124">
        <v>50</v>
      </c>
      <c r="K21" s="125">
        <v>55</v>
      </c>
    </row>
    <row r="22" spans="2:11" ht="15" thickTop="1" x14ac:dyDescent="0.3">
      <c r="B22" s="41"/>
      <c r="C22" s="199">
        <v>3</v>
      </c>
      <c r="D22" s="120">
        <f>SUM(D8:D21)</f>
        <v>0</v>
      </c>
      <c r="E22" s="120">
        <f>SUM(E8:E21)</f>
        <v>0</v>
      </c>
      <c r="F22" s="120">
        <f>SUM(F8:F21)</f>
        <v>60</v>
      </c>
      <c r="G22" s="149">
        <f>SUM(D22:F22)</f>
        <v>60</v>
      </c>
    </row>
    <row r="23" spans="2:11" x14ac:dyDescent="0.3">
      <c r="D23" s="149" t="b">
        <f>IF(D7=TRUE,D5)</f>
        <v>0</v>
      </c>
      <c r="E23" s="149" t="b">
        <f t="shared" ref="E23:F23" si="0">IF(E7=TRUE,E5)</f>
        <v>0</v>
      </c>
      <c r="F23" s="149" t="b">
        <f t="shared" si="0"/>
        <v>0</v>
      </c>
    </row>
  </sheetData>
  <mergeCells count="5">
    <mergeCell ref="B1:F2"/>
    <mergeCell ref="H4:K6"/>
    <mergeCell ref="B4:B6"/>
    <mergeCell ref="D4:F4"/>
    <mergeCell ref="C4:C6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6" r:id="rId4" name="Option Button 34">
              <controlPr defaultSize="0" autoFill="0" autoLine="0" autoPict="0">
                <anchor moveWithCells="1">
                  <from>
                    <xdr:col>2</xdr:col>
                    <xdr:colOff>213360</xdr:colOff>
                    <xdr:row>6</xdr:row>
                    <xdr:rowOff>144780</xdr:rowOff>
                  </from>
                  <to>
                    <xdr:col>2</xdr:col>
                    <xdr:colOff>403860</xdr:colOff>
                    <xdr:row>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5" name="Option Button 35">
              <controlPr defaultSize="0" autoFill="0" autoLine="0" autoPict="0">
                <anchor moveWithCells="1">
                  <from>
                    <xdr:col>2</xdr:col>
                    <xdr:colOff>213360</xdr:colOff>
                    <xdr:row>7</xdr:row>
                    <xdr:rowOff>137160</xdr:rowOff>
                  </from>
                  <to>
                    <xdr:col>2</xdr:col>
                    <xdr:colOff>403860</xdr:colOff>
                    <xdr:row>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6" name="Option Button 36">
              <controlPr defaultSize="0" autoFill="0" autoLine="0" autoPict="0">
                <anchor moveWithCells="1">
                  <from>
                    <xdr:col>2</xdr:col>
                    <xdr:colOff>213360</xdr:colOff>
                    <xdr:row>8</xdr:row>
                    <xdr:rowOff>137160</xdr:rowOff>
                  </from>
                  <to>
                    <xdr:col>2</xdr:col>
                    <xdr:colOff>403860</xdr:colOff>
                    <xdr:row>10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7" name="Option Button 37">
              <controlPr defaultSize="0" autoFill="0" autoLine="0" autoPict="0">
                <anchor moveWithCells="1">
                  <from>
                    <xdr:col>2</xdr:col>
                    <xdr:colOff>213360</xdr:colOff>
                    <xdr:row>9</xdr:row>
                    <xdr:rowOff>137160</xdr:rowOff>
                  </from>
                  <to>
                    <xdr:col>2</xdr:col>
                    <xdr:colOff>403860</xdr:colOff>
                    <xdr:row>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8" name="Option Button 39">
              <controlPr defaultSize="0" autoFill="0" autoLine="0" autoPict="0">
                <anchor moveWithCells="1">
                  <from>
                    <xdr:col>2</xdr:col>
                    <xdr:colOff>213360</xdr:colOff>
                    <xdr:row>11</xdr:row>
                    <xdr:rowOff>137160</xdr:rowOff>
                  </from>
                  <to>
                    <xdr:col>2</xdr:col>
                    <xdr:colOff>403860</xdr:colOff>
                    <xdr:row>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9" name="Option Button 40">
              <controlPr defaultSize="0" autoFill="0" autoLine="0" autoPict="0">
                <anchor moveWithCells="1">
                  <from>
                    <xdr:col>2</xdr:col>
                    <xdr:colOff>213360</xdr:colOff>
                    <xdr:row>12</xdr:row>
                    <xdr:rowOff>137160</xdr:rowOff>
                  </from>
                  <to>
                    <xdr:col>2</xdr:col>
                    <xdr:colOff>403860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0" name="Option Button 41">
              <controlPr defaultSize="0" autoFill="0" autoLine="0" autoPict="0">
                <anchor moveWithCells="1">
                  <from>
                    <xdr:col>2</xdr:col>
                    <xdr:colOff>213360</xdr:colOff>
                    <xdr:row>13</xdr:row>
                    <xdr:rowOff>137160</xdr:rowOff>
                  </from>
                  <to>
                    <xdr:col>2</xdr:col>
                    <xdr:colOff>403860</xdr:colOff>
                    <xdr:row>15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1" name="Option Button 42">
              <controlPr defaultSize="0" autoFill="0" autoLine="0" autoPict="0">
                <anchor moveWithCells="1">
                  <from>
                    <xdr:col>2</xdr:col>
                    <xdr:colOff>213360</xdr:colOff>
                    <xdr:row>14</xdr:row>
                    <xdr:rowOff>137160</xdr:rowOff>
                  </from>
                  <to>
                    <xdr:col>2</xdr:col>
                    <xdr:colOff>403860</xdr:colOff>
                    <xdr:row>16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12" name="Option Button 44">
              <controlPr defaultSize="0" autoFill="0" autoLine="0" autoPict="0">
                <anchor moveWithCells="1">
                  <from>
                    <xdr:col>2</xdr:col>
                    <xdr:colOff>213360</xdr:colOff>
                    <xdr:row>16</xdr:row>
                    <xdr:rowOff>137160</xdr:rowOff>
                  </from>
                  <to>
                    <xdr:col>2</xdr:col>
                    <xdr:colOff>403860</xdr:colOff>
                    <xdr:row>18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13" name="Option Button 45">
              <controlPr defaultSize="0" autoFill="0" autoLine="0" autoPict="0">
                <anchor moveWithCells="1">
                  <from>
                    <xdr:col>2</xdr:col>
                    <xdr:colOff>213360</xdr:colOff>
                    <xdr:row>17</xdr:row>
                    <xdr:rowOff>137160</xdr:rowOff>
                  </from>
                  <to>
                    <xdr:col>2</xdr:col>
                    <xdr:colOff>403860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14" name="Option Button 46">
              <controlPr defaultSize="0" autoFill="0" autoLine="0" autoPict="0">
                <anchor moveWithCells="1">
                  <from>
                    <xdr:col>2</xdr:col>
                    <xdr:colOff>213360</xdr:colOff>
                    <xdr:row>18</xdr:row>
                    <xdr:rowOff>137160</xdr:rowOff>
                  </from>
                  <to>
                    <xdr:col>2</xdr:col>
                    <xdr:colOff>403860</xdr:colOff>
                    <xdr:row>20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15" name="Option Button 47">
              <controlPr defaultSize="0" autoFill="0" autoLine="0" autoPict="0">
                <anchor moveWithCells="1">
                  <from>
                    <xdr:col>2</xdr:col>
                    <xdr:colOff>213360</xdr:colOff>
                    <xdr:row>19</xdr:row>
                    <xdr:rowOff>137160</xdr:rowOff>
                  </from>
                  <to>
                    <xdr:col>2</xdr:col>
                    <xdr:colOff>403860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16" name="Group Box 62">
              <controlPr defaultSize="0" autoFill="0" autoPict="0">
                <anchor moveWithCells="1">
                  <from>
                    <xdr:col>3</xdr:col>
                    <xdr:colOff>7620</xdr:colOff>
                    <xdr:row>3</xdr:row>
                    <xdr:rowOff>190500</xdr:rowOff>
                  </from>
                  <to>
                    <xdr:col>6</xdr:col>
                    <xdr:colOff>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17" name="Option Button 63">
              <controlPr defaultSize="0" autoFill="0" autoLine="0" autoPict="0">
                <anchor moveWithCells="1">
                  <from>
                    <xdr:col>3</xdr:col>
                    <xdr:colOff>312420</xdr:colOff>
                    <xdr:row>4</xdr:row>
                    <xdr:rowOff>121920</xdr:rowOff>
                  </from>
                  <to>
                    <xdr:col>3</xdr:col>
                    <xdr:colOff>609600</xdr:colOff>
                    <xdr:row>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18" name="Option Button 64">
              <controlPr defaultSize="0" autoFill="0" autoLine="0" autoPict="0">
                <anchor moveWithCells="1">
                  <from>
                    <xdr:col>4</xdr:col>
                    <xdr:colOff>228600</xdr:colOff>
                    <xdr:row>4</xdr:row>
                    <xdr:rowOff>121920</xdr:rowOff>
                  </from>
                  <to>
                    <xdr:col>4</xdr:col>
                    <xdr:colOff>525780</xdr:colOff>
                    <xdr:row>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19" name="Option Button 65">
              <controlPr defaultSize="0" autoFill="0" autoLine="0" autoPict="0">
                <anchor moveWithCells="1">
                  <from>
                    <xdr:col>5</xdr:col>
                    <xdr:colOff>213360</xdr:colOff>
                    <xdr:row>4</xdr:row>
                    <xdr:rowOff>121920</xdr:rowOff>
                  </from>
                  <to>
                    <xdr:col>5</xdr:col>
                    <xdr:colOff>518160</xdr:colOff>
                    <xdr:row>6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Φύλλο1"/>
  <dimension ref="A1:AA52"/>
  <sheetViews>
    <sheetView topLeftCell="A5" zoomScale="80" zoomScaleNormal="80" workbookViewId="0">
      <selection activeCell="U14" sqref="U14"/>
    </sheetView>
  </sheetViews>
  <sheetFormatPr defaultColWidth="8.88671875" defaultRowHeight="14.4" x14ac:dyDescent="0.3"/>
  <cols>
    <col min="1" max="1" width="8.88671875" style="1"/>
    <col min="2" max="2" width="9.88671875" style="1" customWidth="1"/>
    <col min="3" max="3" width="11.5546875" style="1" customWidth="1"/>
    <col min="4" max="4" width="17.109375" style="1" customWidth="1"/>
    <col min="5" max="5" width="17" style="1" customWidth="1"/>
    <col min="6" max="6" width="13.5546875" style="1" customWidth="1"/>
    <col min="7" max="7" width="13.6640625" style="1" customWidth="1"/>
    <col min="8" max="8" width="15.6640625" style="1" customWidth="1"/>
    <col min="9" max="9" width="15.5546875" style="1" customWidth="1"/>
    <col min="10" max="11" width="17.33203125" style="1" customWidth="1"/>
    <col min="12" max="13" width="2.33203125" style="1" customWidth="1"/>
    <col min="14" max="14" width="9.6640625" style="1" customWidth="1"/>
    <col min="15" max="16" width="2.6640625" style="1" customWidth="1"/>
    <col min="17" max="17" width="17.33203125" style="1" customWidth="1"/>
    <col min="18" max="18" width="15.5546875" style="1" customWidth="1"/>
    <col min="19" max="19" width="15.88671875" style="1" customWidth="1"/>
    <col min="20" max="20" width="14.33203125" style="1" customWidth="1"/>
    <col min="21" max="21" width="13.33203125" style="1" customWidth="1"/>
    <col min="22" max="22" width="17" style="1" bestFit="1" customWidth="1"/>
    <col min="23" max="23" width="12.6640625" style="1" customWidth="1"/>
    <col min="24" max="27" width="11.44140625" style="1" customWidth="1"/>
    <col min="28" max="38" width="8.88671875" style="1"/>
    <col min="39" max="40" width="11.5546875" style="1" bestFit="1" customWidth="1"/>
    <col min="41" max="16384" width="8.88671875" style="1"/>
  </cols>
  <sheetData>
    <row r="1" spans="1:27" ht="46.2" x14ac:dyDescent="0.3">
      <c r="A1" s="288" t="s">
        <v>47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151"/>
      <c r="Z1" s="151"/>
      <c r="AA1" s="151"/>
    </row>
    <row r="2" spans="1:27" ht="25.8" x14ac:dyDescent="0.3">
      <c r="A2" s="296" t="s">
        <v>135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42"/>
      <c r="Z2" s="42"/>
      <c r="AA2" s="42"/>
    </row>
    <row r="3" spans="1:27" ht="26.4" thickBot="1" x14ac:dyDescent="0.3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</row>
    <row r="4" spans="1:27" ht="25.8" x14ac:dyDescent="0.3">
      <c r="A4" s="297" t="s">
        <v>48</v>
      </c>
      <c r="B4" s="298"/>
      <c r="C4" s="298"/>
      <c r="D4" s="298"/>
      <c r="E4" s="298"/>
      <c r="F4" s="298"/>
      <c r="G4" s="298"/>
      <c r="H4" s="298"/>
      <c r="I4" s="299"/>
      <c r="J4" s="42"/>
      <c r="K4" s="297" t="s">
        <v>49</v>
      </c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9"/>
      <c r="Y4" s="152"/>
      <c r="Z4" s="152"/>
      <c r="AA4" s="152"/>
    </row>
    <row r="5" spans="1:27" s="41" customFormat="1" ht="31.5" customHeight="1" x14ac:dyDescent="0.3">
      <c r="A5" s="43" t="s">
        <v>50</v>
      </c>
      <c r="B5" s="44"/>
      <c r="C5" s="44"/>
      <c r="D5" s="44"/>
      <c r="E5" s="44"/>
      <c r="F5" s="45"/>
      <c r="G5" s="45"/>
      <c r="H5" s="45"/>
      <c r="I5" s="46" t="s">
        <v>51</v>
      </c>
      <c r="K5" s="300" t="s">
        <v>57</v>
      </c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2"/>
      <c r="Y5" s="153"/>
      <c r="Z5" s="153"/>
      <c r="AA5" s="153"/>
    </row>
    <row r="6" spans="1:27" s="41" customFormat="1" ht="30" customHeight="1" thickBot="1" x14ac:dyDescent="0.35">
      <c r="A6" s="43" t="s">
        <v>20</v>
      </c>
      <c r="B6" s="44" t="s">
        <v>52</v>
      </c>
      <c r="C6" s="44"/>
      <c r="D6" s="44"/>
      <c r="E6" s="44"/>
      <c r="F6" s="45"/>
      <c r="G6" s="45"/>
      <c r="H6" s="45"/>
      <c r="I6" s="47"/>
      <c r="K6" s="309" t="s">
        <v>58</v>
      </c>
      <c r="L6" s="308"/>
      <c r="M6" s="308"/>
      <c r="N6" s="308"/>
      <c r="O6" s="49"/>
      <c r="P6" s="49"/>
      <c r="Q6" s="49"/>
      <c r="R6" s="49"/>
      <c r="S6" s="49"/>
      <c r="T6" s="49"/>
      <c r="U6" s="49"/>
      <c r="V6" s="49"/>
      <c r="W6" s="49"/>
      <c r="X6" s="50"/>
    </row>
    <row r="7" spans="1:27" s="41" customFormat="1" ht="15" thickBot="1" x14ac:dyDescent="0.35">
      <c r="A7" s="43" t="s">
        <v>21</v>
      </c>
      <c r="B7" s="44" t="s">
        <v>53</v>
      </c>
      <c r="C7" s="44"/>
      <c r="D7" s="44"/>
      <c r="E7" s="44"/>
      <c r="F7" s="45"/>
      <c r="G7" s="45"/>
      <c r="H7" s="45"/>
      <c r="I7" s="47"/>
    </row>
    <row r="8" spans="1:27" s="41" customFormat="1" ht="14.4" customHeight="1" x14ac:dyDescent="0.3">
      <c r="A8" s="43" t="s">
        <v>22</v>
      </c>
      <c r="B8" s="44" t="s">
        <v>54</v>
      </c>
      <c r="C8" s="44"/>
      <c r="D8" s="44"/>
      <c r="E8" s="44"/>
      <c r="F8" s="45"/>
      <c r="G8" s="45"/>
      <c r="H8" s="45"/>
      <c r="I8" s="47"/>
      <c r="K8" s="218" t="s">
        <v>142</v>
      </c>
      <c r="L8" s="219"/>
      <c r="M8" s="219"/>
      <c r="N8" s="219"/>
      <c r="O8" s="219"/>
      <c r="P8" s="219"/>
      <c r="Q8" s="219"/>
      <c r="R8" s="220"/>
      <c r="S8" s="179"/>
      <c r="T8" s="179"/>
      <c r="U8" s="179"/>
      <c r="V8" s="179"/>
      <c r="W8" s="179"/>
      <c r="X8" s="179"/>
    </row>
    <row r="9" spans="1:27" s="41" customFormat="1" ht="14.4" customHeight="1" thickBot="1" x14ac:dyDescent="0.35">
      <c r="A9" s="43"/>
      <c r="B9" s="44"/>
      <c r="C9" s="44"/>
      <c r="D9" s="44"/>
      <c r="E9" s="44"/>
      <c r="F9" s="45"/>
      <c r="G9" s="45"/>
      <c r="H9" s="45"/>
      <c r="I9" s="47"/>
      <c r="K9" s="221"/>
      <c r="L9" s="222"/>
      <c r="M9" s="222"/>
      <c r="N9" s="222"/>
      <c r="O9" s="222"/>
      <c r="P9" s="222"/>
      <c r="Q9" s="222"/>
      <c r="R9" s="223"/>
      <c r="S9" s="179"/>
      <c r="T9" s="179"/>
      <c r="U9" s="179"/>
      <c r="V9" s="179"/>
      <c r="W9" s="179"/>
      <c r="X9" s="179"/>
    </row>
    <row r="10" spans="1:27" s="41" customFormat="1" ht="35.25" customHeight="1" thickBot="1" x14ac:dyDescent="0.35">
      <c r="A10" s="48" t="s">
        <v>55</v>
      </c>
      <c r="B10" s="308" t="s">
        <v>56</v>
      </c>
      <c r="C10" s="308"/>
      <c r="D10" s="308"/>
      <c r="E10" s="308"/>
      <c r="F10" s="308"/>
      <c r="G10" s="49"/>
      <c r="H10" s="49"/>
      <c r="I10" s="50"/>
    </row>
    <row r="11" spans="1:27" ht="15" thickBot="1" x14ac:dyDescent="0.35"/>
    <row r="12" spans="1:27" ht="72" customHeight="1" thickTop="1" thickBot="1" x14ac:dyDescent="0.35">
      <c r="A12" s="279" t="s">
        <v>59</v>
      </c>
      <c r="B12" s="280"/>
      <c r="C12" s="162" t="s">
        <v>62</v>
      </c>
      <c r="D12" s="35" t="s">
        <v>63</v>
      </c>
      <c r="E12" s="35" t="s">
        <v>64</v>
      </c>
      <c r="F12" s="35" t="s">
        <v>65</v>
      </c>
      <c r="G12" s="163" t="s">
        <v>66</v>
      </c>
      <c r="H12" s="163" t="s">
        <v>138</v>
      </c>
      <c r="I12" s="10" t="s">
        <v>19</v>
      </c>
      <c r="J12" s="164" t="s">
        <v>67</v>
      </c>
      <c r="K12" s="164" t="s">
        <v>69</v>
      </c>
      <c r="L12" s="293" t="s">
        <v>68</v>
      </c>
      <c r="M12" s="294"/>
      <c r="N12" s="294"/>
      <c r="O12" s="294"/>
      <c r="P12" s="294"/>
      <c r="Q12" s="164" t="s">
        <v>70</v>
      </c>
      <c r="R12" s="8" t="s">
        <v>71</v>
      </c>
      <c r="S12" s="16" t="s">
        <v>72</v>
      </c>
      <c r="T12" s="165" t="s">
        <v>73</v>
      </c>
      <c r="U12" s="165" t="s">
        <v>74</v>
      </c>
      <c r="V12" s="165" t="s">
        <v>73</v>
      </c>
      <c r="W12" s="38" t="s">
        <v>75</v>
      </c>
      <c r="X12" s="102" t="s">
        <v>76</v>
      </c>
      <c r="Y12" s="154"/>
      <c r="Z12" s="154"/>
      <c r="AA12" s="154"/>
    </row>
    <row r="13" spans="1:27" s="2" customFormat="1" ht="14.4" customHeight="1" thickTop="1" thickBot="1" x14ac:dyDescent="0.35">
      <c r="A13" s="281"/>
      <c r="B13" s="282"/>
      <c r="C13" s="32" t="s">
        <v>0</v>
      </c>
      <c r="D13" s="29" t="s">
        <v>1</v>
      </c>
      <c r="E13" s="29" t="s">
        <v>2</v>
      </c>
      <c r="F13" s="29" t="s">
        <v>3</v>
      </c>
      <c r="G13" s="11" t="s">
        <v>4</v>
      </c>
      <c r="H13" s="11" t="s">
        <v>5</v>
      </c>
      <c r="I13" s="11" t="s">
        <v>6</v>
      </c>
      <c r="J13" s="33" t="s">
        <v>7</v>
      </c>
      <c r="K13" s="33" t="s">
        <v>8</v>
      </c>
      <c r="L13" s="295" t="s">
        <v>9</v>
      </c>
      <c r="M13" s="295"/>
      <c r="N13" s="295"/>
      <c r="O13" s="295"/>
      <c r="P13" s="295"/>
      <c r="Q13" s="33" t="s">
        <v>10</v>
      </c>
      <c r="R13" s="9" t="s">
        <v>11</v>
      </c>
      <c r="S13" s="17" t="s">
        <v>12</v>
      </c>
      <c r="T13" s="17" t="s">
        <v>13</v>
      </c>
      <c r="U13" s="17" t="s">
        <v>14</v>
      </c>
      <c r="V13" s="17" t="s">
        <v>15</v>
      </c>
      <c r="W13" s="39" t="s">
        <v>17</v>
      </c>
      <c r="X13" s="103" t="s">
        <v>18</v>
      </c>
      <c r="Y13" s="155"/>
      <c r="Z13" s="155"/>
      <c r="AA13" s="155"/>
    </row>
    <row r="14" spans="1:27" ht="15" thickBot="1" x14ac:dyDescent="0.35">
      <c r="A14" s="283"/>
      <c r="B14" s="284"/>
      <c r="C14" s="180">
        <v>0.05</v>
      </c>
      <c r="D14" s="181">
        <v>5</v>
      </c>
      <c r="E14" s="182">
        <v>80000</v>
      </c>
      <c r="F14" s="181">
        <v>2000</v>
      </c>
      <c r="G14" s="183">
        <v>300000</v>
      </c>
      <c r="H14" s="183">
        <v>2500</v>
      </c>
      <c r="I14" s="12">
        <f>G14+H14</f>
        <v>302500</v>
      </c>
      <c r="J14" s="184">
        <v>50000</v>
      </c>
      <c r="K14" s="185">
        <v>4000</v>
      </c>
      <c r="L14" s="21" t="str">
        <f>IF(M14=TRUE, "0", "0")</f>
        <v>0</v>
      </c>
      <c r="M14" s="191" t="b">
        <v>0</v>
      </c>
      <c r="N14" s="19">
        <v>0</v>
      </c>
      <c r="O14" s="24">
        <f>$J$14/((1+$C$14)^L14)</f>
        <v>50000</v>
      </c>
      <c r="P14" s="24">
        <f>IF(O14=$J$14, 0, O14)</f>
        <v>0</v>
      </c>
      <c r="Q14" s="13">
        <f>SUM(P14:P24)</f>
        <v>86486.597662496584</v>
      </c>
      <c r="R14" s="15">
        <f>I14-J14</f>
        <v>252500</v>
      </c>
      <c r="S14" s="18">
        <f>(R14-E14)/D14</f>
        <v>34500</v>
      </c>
      <c r="T14" s="14">
        <f>(R14*(D14+1)+E14*(D14-1))/(2*D14)</f>
        <v>183500</v>
      </c>
      <c r="U14" s="186">
        <v>0.05</v>
      </c>
      <c r="V14" s="14">
        <f>T14*U14</f>
        <v>9175</v>
      </c>
      <c r="W14" s="40">
        <f>S14+V14</f>
        <v>43675</v>
      </c>
      <c r="X14" s="104">
        <f>W14/F14</f>
        <v>21.837499999999999</v>
      </c>
      <c r="Y14" s="156"/>
      <c r="Z14" s="156"/>
      <c r="AA14" s="156"/>
    </row>
    <row r="15" spans="1:27" ht="15.6" thickTop="1" thickBot="1" x14ac:dyDescent="0.35">
      <c r="A15" s="2"/>
      <c r="B15" s="2"/>
      <c r="C15" s="4"/>
      <c r="D15" s="3"/>
      <c r="E15" s="5"/>
      <c r="F15" s="3"/>
      <c r="G15" s="5"/>
      <c r="H15" s="5"/>
      <c r="I15" s="5"/>
      <c r="J15" s="5"/>
      <c r="K15" s="3"/>
      <c r="L15" s="22" t="str">
        <f>IF(M15=TRUE, "1", "0")</f>
        <v>0</v>
      </c>
      <c r="M15" s="191" t="b">
        <v>0</v>
      </c>
      <c r="N15" s="19">
        <v>1</v>
      </c>
      <c r="O15" s="24">
        <f t="shared" ref="O15:O24" si="0">$J$14/((1+$C$14)^L15)</f>
        <v>50000</v>
      </c>
      <c r="P15" s="25">
        <f t="shared" ref="P15:P24" si="1">IF(O15=$J$14, 0, O15)</f>
        <v>0</v>
      </c>
      <c r="Q15" s="3"/>
      <c r="R15" s="5"/>
      <c r="S15" s="5"/>
      <c r="T15" s="5"/>
      <c r="U15" s="4"/>
      <c r="V15" s="5"/>
      <c r="W15" s="5"/>
      <c r="X15" s="5"/>
      <c r="Y15" s="5"/>
      <c r="Z15" s="5"/>
      <c r="AA15" s="5"/>
    </row>
    <row r="16" spans="1:27" ht="15" thickBot="1" x14ac:dyDescent="0.35">
      <c r="A16" s="2"/>
      <c r="B16" s="2"/>
      <c r="C16" s="4"/>
      <c r="D16" s="3"/>
      <c r="E16" s="5"/>
      <c r="F16" s="3"/>
      <c r="G16" s="5"/>
      <c r="H16" s="5"/>
      <c r="I16" s="5"/>
      <c r="J16" s="5"/>
      <c r="K16" s="3"/>
      <c r="L16" s="22" t="str">
        <f>IF(M16=TRUE, "2", "0")</f>
        <v>2</v>
      </c>
      <c r="M16" s="191" t="b">
        <v>1</v>
      </c>
      <c r="N16" s="19">
        <v>2</v>
      </c>
      <c r="O16" s="24">
        <f t="shared" si="0"/>
        <v>45351.473922902493</v>
      </c>
      <c r="P16" s="25">
        <f t="shared" si="1"/>
        <v>45351.473922902493</v>
      </c>
      <c r="Q16" s="3"/>
      <c r="R16" s="306" t="s">
        <v>77</v>
      </c>
      <c r="S16" s="307"/>
      <c r="T16" s="112">
        <f>ROUNDDOWN(D14/(K14/F14),0)</f>
        <v>2</v>
      </c>
      <c r="U16" s="106" t="s">
        <v>78</v>
      </c>
      <c r="V16" s="107" t="s">
        <v>79</v>
      </c>
      <c r="W16" s="112">
        <f>ROUNDDOWN(K14/F14,0)</f>
        <v>2</v>
      </c>
      <c r="X16" s="108" t="s">
        <v>80</v>
      </c>
      <c r="Y16" s="37"/>
      <c r="Z16" s="37"/>
      <c r="AA16" s="37"/>
    </row>
    <row r="17" spans="1:27" ht="15" customHeight="1" thickBot="1" x14ac:dyDescent="0.35">
      <c r="A17" s="310" t="s">
        <v>83</v>
      </c>
      <c r="B17" s="311"/>
      <c r="C17" s="311"/>
      <c r="D17" s="311"/>
      <c r="E17" s="311"/>
      <c r="F17" s="311"/>
      <c r="G17" s="67"/>
      <c r="H17" s="67"/>
      <c r="I17" s="67"/>
      <c r="J17" s="68"/>
      <c r="K17" s="3"/>
      <c r="L17" s="22" t="str">
        <f>IF(M17=TRUE, "3", "0")</f>
        <v>0</v>
      </c>
      <c r="M17" s="191" t="b">
        <v>0</v>
      </c>
      <c r="N17" s="19">
        <v>3</v>
      </c>
      <c r="O17" s="24">
        <f t="shared" si="0"/>
        <v>50000</v>
      </c>
      <c r="P17" s="25">
        <f t="shared" si="1"/>
        <v>0</v>
      </c>
      <c r="Q17" s="3"/>
      <c r="R17" s="70"/>
      <c r="S17" s="71"/>
      <c r="T17" s="109"/>
      <c r="U17" s="110"/>
      <c r="V17" s="109" t="s">
        <v>81</v>
      </c>
      <c r="W17" s="113">
        <f>D14</f>
        <v>5</v>
      </c>
      <c r="X17" s="111" t="s">
        <v>80</v>
      </c>
      <c r="Y17" s="37"/>
      <c r="Z17" s="37"/>
      <c r="AA17" s="37"/>
    </row>
    <row r="18" spans="1:27" ht="15" thickBot="1" x14ac:dyDescent="0.35">
      <c r="A18" s="252"/>
      <c r="B18" s="253"/>
      <c r="C18" s="253"/>
      <c r="D18" s="253"/>
      <c r="E18" s="253"/>
      <c r="F18" s="253"/>
      <c r="G18" s="253"/>
      <c r="H18" s="253"/>
      <c r="I18" s="253"/>
      <c r="J18" s="254"/>
      <c r="K18" s="3"/>
      <c r="L18" s="22" t="str">
        <f>IF(M18=TRUE, "4", "0")</f>
        <v>4</v>
      </c>
      <c r="M18" s="191" t="b">
        <v>1</v>
      </c>
      <c r="N18" s="19">
        <v>4</v>
      </c>
      <c r="O18" s="24">
        <f t="shared" si="0"/>
        <v>41135.123739594099</v>
      </c>
      <c r="P18" s="25">
        <f t="shared" si="1"/>
        <v>41135.123739594099</v>
      </c>
      <c r="Q18" s="3"/>
      <c r="R18" s="5"/>
      <c r="S18" s="5"/>
    </row>
    <row r="19" spans="1:27" ht="15.75" customHeight="1" thickBot="1" x14ac:dyDescent="0.35">
      <c r="A19" s="255"/>
      <c r="B19" s="256"/>
      <c r="C19" s="256"/>
      <c r="D19" s="256"/>
      <c r="E19" s="256"/>
      <c r="F19" s="256"/>
      <c r="G19" s="256"/>
      <c r="H19" s="256"/>
      <c r="I19" s="256"/>
      <c r="J19" s="257"/>
      <c r="K19" s="3"/>
      <c r="L19" s="22" t="str">
        <f>IF(M19=TRUE, "5", "0")</f>
        <v>0</v>
      </c>
      <c r="M19" s="191" t="b">
        <v>0</v>
      </c>
      <c r="N19" s="19">
        <v>5</v>
      </c>
      <c r="O19" s="24">
        <f t="shared" si="0"/>
        <v>50000</v>
      </c>
      <c r="P19" s="25">
        <f t="shared" si="1"/>
        <v>0</v>
      </c>
      <c r="Q19" s="3"/>
      <c r="R19" s="227" t="s">
        <v>82</v>
      </c>
      <c r="S19" s="228"/>
      <c r="T19" s="228"/>
      <c r="U19" s="166"/>
      <c r="V19" s="167"/>
      <c r="W19" s="105"/>
      <c r="X19" s="105"/>
      <c r="Y19" s="105"/>
      <c r="Z19" s="105"/>
      <c r="AA19" s="105"/>
    </row>
    <row r="20" spans="1:27" ht="15" thickBot="1" x14ac:dyDescent="0.35">
      <c r="L20" s="22" t="str">
        <f>IF(M20=TRUE, "6", "0")</f>
        <v>0</v>
      </c>
      <c r="M20" s="191" t="b">
        <v>0</v>
      </c>
      <c r="N20" s="19">
        <v>6</v>
      </c>
      <c r="O20" s="24">
        <f t="shared" si="0"/>
        <v>50000</v>
      </c>
      <c r="P20" s="25">
        <f t="shared" si="1"/>
        <v>0</v>
      </c>
      <c r="R20" s="229"/>
      <c r="S20" s="230"/>
      <c r="T20" s="230"/>
      <c r="U20" s="166"/>
      <c r="V20" s="167"/>
      <c r="W20" s="105"/>
      <c r="X20" s="105"/>
      <c r="Y20" s="105"/>
      <c r="Z20" s="105"/>
      <c r="AA20" s="105"/>
    </row>
    <row r="21" spans="1:27" ht="15.75" customHeight="1" thickTop="1" x14ac:dyDescent="0.3">
      <c r="A21" s="279" t="s">
        <v>60</v>
      </c>
      <c r="B21" s="280"/>
      <c r="C21" s="276" t="s">
        <v>84</v>
      </c>
      <c r="D21" s="270" t="s">
        <v>85</v>
      </c>
      <c r="E21" s="270" t="s">
        <v>86</v>
      </c>
      <c r="F21" s="270" t="s">
        <v>87</v>
      </c>
      <c r="G21" s="273" t="s">
        <v>65</v>
      </c>
      <c r="H21" s="224" t="s">
        <v>88</v>
      </c>
      <c r="I21" s="72"/>
      <c r="J21" s="258" t="s">
        <v>89</v>
      </c>
      <c r="L21" s="22" t="str">
        <f>IF(M21=TRUE, "7", "0")</f>
        <v>0</v>
      </c>
      <c r="M21" s="191" t="b">
        <v>0</v>
      </c>
      <c r="N21" s="19">
        <v>7</v>
      </c>
      <c r="O21" s="24">
        <f t="shared" si="0"/>
        <v>50000</v>
      </c>
      <c r="P21" s="25">
        <f t="shared" si="1"/>
        <v>0</v>
      </c>
    </row>
    <row r="22" spans="1:27" x14ac:dyDescent="0.3">
      <c r="A22" s="281"/>
      <c r="B22" s="282"/>
      <c r="C22" s="277"/>
      <c r="D22" s="271"/>
      <c r="E22" s="271"/>
      <c r="F22" s="271"/>
      <c r="G22" s="274"/>
      <c r="H22" s="225"/>
      <c r="I22" s="72"/>
      <c r="J22" s="259"/>
      <c r="L22" s="22" t="str">
        <f>IF(M22=TRUE, "8", "0")</f>
        <v>0</v>
      </c>
      <c r="M22" s="191" t="b">
        <v>0</v>
      </c>
      <c r="N22" s="19">
        <v>8</v>
      </c>
      <c r="O22" s="24">
        <f t="shared" si="0"/>
        <v>50000</v>
      </c>
      <c r="P22" s="25">
        <f t="shared" si="1"/>
        <v>0</v>
      </c>
    </row>
    <row r="23" spans="1:27" ht="15" thickBot="1" x14ac:dyDescent="0.35">
      <c r="A23" s="281"/>
      <c r="B23" s="282"/>
      <c r="C23" s="278"/>
      <c r="D23" s="272"/>
      <c r="E23" s="272"/>
      <c r="F23" s="272"/>
      <c r="G23" s="275"/>
      <c r="H23" s="226"/>
      <c r="J23" s="259"/>
      <c r="L23" s="22" t="str">
        <f>IF(M23=TRUE, "9", "0")</f>
        <v>0</v>
      </c>
      <c r="M23" s="191" t="b">
        <v>0</v>
      </c>
      <c r="N23" s="19">
        <v>9</v>
      </c>
      <c r="O23" s="24">
        <f t="shared" si="0"/>
        <v>50000</v>
      </c>
      <c r="P23" s="25">
        <f t="shared" si="1"/>
        <v>0</v>
      </c>
    </row>
    <row r="24" spans="1:27" ht="15" thickBot="1" x14ac:dyDescent="0.35">
      <c r="A24" s="283"/>
      <c r="B24" s="284"/>
      <c r="C24" s="187">
        <v>5</v>
      </c>
      <c r="D24" s="76">
        <f>D14*(D14+1)/2</f>
        <v>15</v>
      </c>
      <c r="E24" s="77">
        <f>'Total Repair Cost Factor (Nunn)'!G22/100</f>
        <v>0.6</v>
      </c>
      <c r="F24" s="77">
        <f>E24*R14</f>
        <v>151500</v>
      </c>
      <c r="G24" s="77">
        <f>F14</f>
        <v>2000</v>
      </c>
      <c r="H24" s="78">
        <f>(C24/D24)*(F24/G24)</f>
        <v>25.25</v>
      </c>
      <c r="J24" s="260"/>
      <c r="L24" s="23" t="str">
        <f>IF(M24=TRUE, "10", "0")</f>
        <v>0</v>
      </c>
      <c r="M24" s="192" t="b">
        <v>0</v>
      </c>
      <c r="N24" s="20">
        <v>10</v>
      </c>
      <c r="O24" s="26">
        <f t="shared" si="0"/>
        <v>50000</v>
      </c>
      <c r="P24" s="27">
        <f t="shared" si="1"/>
        <v>0</v>
      </c>
    </row>
    <row r="25" spans="1:27" ht="15.6" thickTop="1" thickBot="1" x14ac:dyDescent="0.35">
      <c r="M25" s="3"/>
    </row>
    <row r="26" spans="1:27" s="2" customFormat="1" ht="82.2" customHeight="1" thickTop="1" thickBot="1" x14ac:dyDescent="0.35">
      <c r="A26" s="279" t="s">
        <v>61</v>
      </c>
      <c r="B26" s="280"/>
      <c r="C26" s="168" t="s">
        <v>46</v>
      </c>
      <c r="D26" s="169" t="s">
        <v>140</v>
      </c>
      <c r="E26" s="88" t="s">
        <v>92</v>
      </c>
      <c r="F26" s="168" t="s">
        <v>93</v>
      </c>
      <c r="G26" s="35" t="s">
        <v>94</v>
      </c>
      <c r="H26" s="35" t="s">
        <v>95</v>
      </c>
      <c r="I26" s="35" t="s">
        <v>96</v>
      </c>
      <c r="J26" s="28" t="s">
        <v>97</v>
      </c>
      <c r="K26" s="163" t="s">
        <v>139</v>
      </c>
      <c r="L26" s="247" t="s">
        <v>98</v>
      </c>
      <c r="M26" s="248"/>
      <c r="N26" s="248"/>
      <c r="O26" s="248"/>
      <c r="P26" s="248"/>
      <c r="Q26" s="243" t="s">
        <v>86</v>
      </c>
      <c r="R26" s="244"/>
      <c r="S26" s="170" t="s">
        <v>99</v>
      </c>
      <c r="T26" s="10" t="s">
        <v>100</v>
      </c>
      <c r="U26" s="164" t="s">
        <v>101</v>
      </c>
      <c r="V26" s="34" t="s">
        <v>102</v>
      </c>
      <c r="W26" s="84" t="s">
        <v>103</v>
      </c>
      <c r="X26" s="30" t="s">
        <v>104</v>
      </c>
      <c r="Y26" s="79" t="s">
        <v>105</v>
      </c>
    </row>
    <row r="27" spans="1:27" s="2" customFormat="1" ht="16.5" customHeight="1" thickTop="1" thickBot="1" x14ac:dyDescent="0.35">
      <c r="A27" s="281"/>
      <c r="B27" s="282"/>
      <c r="C27" s="86" t="s">
        <v>0</v>
      </c>
      <c r="D27" s="85" t="s">
        <v>1</v>
      </c>
      <c r="E27" s="89" t="s">
        <v>2</v>
      </c>
      <c r="F27" s="86" t="s">
        <v>3</v>
      </c>
      <c r="G27" s="29" t="s">
        <v>4</v>
      </c>
      <c r="H27" s="29" t="s">
        <v>5</v>
      </c>
      <c r="I27" s="29" t="s">
        <v>6</v>
      </c>
      <c r="J27" s="29" t="s">
        <v>7</v>
      </c>
      <c r="K27" s="11" t="s">
        <v>8</v>
      </c>
      <c r="L27" s="249" t="s">
        <v>9</v>
      </c>
      <c r="M27" s="250"/>
      <c r="N27" s="250"/>
      <c r="O27" s="250"/>
      <c r="P27" s="251"/>
      <c r="Q27" s="245" t="s">
        <v>10</v>
      </c>
      <c r="R27" s="246"/>
      <c r="S27" s="83" t="s">
        <v>11</v>
      </c>
      <c r="T27" s="11" t="s">
        <v>12</v>
      </c>
      <c r="U27" s="33" t="s">
        <v>13</v>
      </c>
      <c r="V27" s="33" t="s">
        <v>14</v>
      </c>
      <c r="W27" s="7" t="s">
        <v>15</v>
      </c>
      <c r="X27" s="31" t="s">
        <v>17</v>
      </c>
      <c r="Y27" s="80" t="s">
        <v>18</v>
      </c>
    </row>
    <row r="28" spans="1:27" s="3" customFormat="1" ht="15.75" customHeight="1" x14ac:dyDescent="0.3">
      <c r="A28" s="281"/>
      <c r="B28" s="282"/>
      <c r="C28" s="146" t="str">
        <f>IF('Total Repair Cost Factor (Nunn)'!G6=1,'Total Repair Cost Factor (Nunn)'!D5," ")</f>
        <v xml:space="preserve"> </v>
      </c>
      <c r="D28" s="231">
        <v>0.6</v>
      </c>
      <c r="E28" s="285">
        <f>'Total Repair Cost Factor (Nunn)'!G22/100</f>
        <v>0.6</v>
      </c>
      <c r="F28" s="231">
        <v>170</v>
      </c>
      <c r="G28" s="231">
        <v>0.14799999999999999</v>
      </c>
      <c r="H28" s="261">
        <f>D28*F28*G28</f>
        <v>15.096</v>
      </c>
      <c r="I28" s="231">
        <v>1</v>
      </c>
      <c r="J28" s="234">
        <f>H28*I28</f>
        <v>15.096</v>
      </c>
      <c r="K28" s="237">
        <v>0.33</v>
      </c>
      <c r="L28" s="240">
        <f>J28*K28</f>
        <v>4.9816799999999999</v>
      </c>
      <c r="M28" s="240"/>
      <c r="N28" s="240"/>
      <c r="O28" s="240"/>
      <c r="P28" s="240"/>
      <c r="Q28" s="159" t="s">
        <v>90</v>
      </c>
      <c r="R28" s="188">
        <v>0.5</v>
      </c>
      <c r="S28" s="331">
        <f>IF(Q31=1,R28*S14,R30*S14)</f>
        <v>17250</v>
      </c>
      <c r="T28" s="334">
        <f>S28/F14</f>
        <v>8.625</v>
      </c>
      <c r="U28" s="337">
        <f>(J14+Q14)*C14*((1+C14)^D14)/(((1+C14)^D14)-1)</f>
        <v>31524.964342309293</v>
      </c>
      <c r="V28" s="340">
        <f>U28/F14</f>
        <v>15.762482171154646</v>
      </c>
      <c r="W28" s="343">
        <v>40</v>
      </c>
      <c r="X28" s="312">
        <f>J28+L28+T28+V28+W28</f>
        <v>84.465162171154645</v>
      </c>
      <c r="Y28" s="328">
        <f>J28+L28+H24+V28+W28</f>
        <v>101.09016217115465</v>
      </c>
    </row>
    <row r="29" spans="1:27" s="3" customFormat="1" x14ac:dyDescent="0.3">
      <c r="A29" s="281"/>
      <c r="B29" s="282"/>
      <c r="C29" s="147" t="str">
        <f>IF('Total Repair Cost Factor (Nunn)'!G6=2,'Total Repair Cost Factor (Nunn)'!E5," ")</f>
        <v xml:space="preserve"> </v>
      </c>
      <c r="D29" s="232"/>
      <c r="E29" s="286"/>
      <c r="F29" s="232"/>
      <c r="G29" s="232"/>
      <c r="H29" s="262"/>
      <c r="I29" s="232"/>
      <c r="J29" s="235"/>
      <c r="K29" s="238"/>
      <c r="L29" s="241"/>
      <c r="M29" s="241"/>
      <c r="N29" s="241"/>
      <c r="O29" s="241"/>
      <c r="P29" s="241"/>
      <c r="Q29" s="157"/>
      <c r="R29" s="158"/>
      <c r="S29" s="332"/>
      <c r="T29" s="335"/>
      <c r="U29" s="338"/>
      <c r="V29" s="341"/>
      <c r="W29" s="344"/>
      <c r="X29" s="313"/>
      <c r="Y29" s="329"/>
    </row>
    <row r="30" spans="1:27" s="3" customFormat="1" ht="15" thickBot="1" x14ac:dyDescent="0.35">
      <c r="A30" s="283"/>
      <c r="B30" s="284"/>
      <c r="C30" s="148" t="str">
        <f>IF('Total Repair Cost Factor (Nunn)'!G6=3,'Total Repair Cost Factor (Nunn)'!F5," ")</f>
        <v>Severe</v>
      </c>
      <c r="D30" s="233"/>
      <c r="E30" s="287"/>
      <c r="F30" s="233"/>
      <c r="G30" s="233"/>
      <c r="H30" s="263"/>
      <c r="I30" s="233"/>
      <c r="J30" s="236"/>
      <c r="K30" s="239"/>
      <c r="L30" s="242"/>
      <c r="M30" s="242"/>
      <c r="N30" s="242"/>
      <c r="O30" s="242"/>
      <c r="P30" s="242"/>
      <c r="Q30" s="160" t="s">
        <v>91</v>
      </c>
      <c r="R30" s="161" t="str">
        <f>IF(Q31=2,E24," ")</f>
        <v xml:space="preserve"> </v>
      </c>
      <c r="S30" s="333"/>
      <c r="T30" s="336"/>
      <c r="U30" s="339"/>
      <c r="V30" s="342"/>
      <c r="W30" s="345"/>
      <c r="X30" s="314"/>
      <c r="Y30" s="330"/>
    </row>
    <row r="31" spans="1:27" ht="15.6" thickTop="1" thickBot="1" x14ac:dyDescent="0.35">
      <c r="Q31" s="193">
        <v>1</v>
      </c>
      <c r="R31" s="150"/>
    </row>
    <row r="32" spans="1:27" ht="72" customHeight="1" thickTop="1" thickBot="1" x14ac:dyDescent="0.45">
      <c r="A32" s="289" t="s">
        <v>106</v>
      </c>
      <c r="B32" s="290"/>
      <c r="C32" s="291">
        <f>X14+X28</f>
        <v>106.30266217115465</v>
      </c>
      <c r="D32" s="292"/>
      <c r="E32" s="6" t="s">
        <v>16</v>
      </c>
      <c r="K32" s="303" t="s">
        <v>109</v>
      </c>
      <c r="L32" s="304"/>
      <c r="M32" s="304"/>
      <c r="N32" s="304"/>
      <c r="O32" s="304"/>
      <c r="P32" s="304"/>
      <c r="Q32" s="304"/>
      <c r="R32" s="304"/>
      <c r="S32" s="304"/>
      <c r="T32" s="304"/>
      <c r="U32" s="304"/>
      <c r="V32" s="304"/>
      <c r="W32" s="305"/>
    </row>
    <row r="33" spans="1:23" ht="15.6" thickTop="1" thickBot="1" x14ac:dyDescent="0.35">
      <c r="G33" s="82" t="s">
        <v>108</v>
      </c>
      <c r="H33" s="81">
        <f>(C34-C32)/C32</f>
        <v>0.15639307295270366</v>
      </c>
      <c r="K33" s="100" t="s">
        <v>110</v>
      </c>
      <c r="L33" s="315" t="s">
        <v>130</v>
      </c>
      <c r="M33" s="315"/>
      <c r="N33" s="315"/>
      <c r="O33" s="315"/>
      <c r="P33" s="315"/>
      <c r="Q33" s="315"/>
      <c r="R33" s="315"/>
      <c r="S33" s="315"/>
      <c r="T33" s="315"/>
      <c r="U33" s="315"/>
      <c r="V33" s="315"/>
      <c r="W33" s="316"/>
    </row>
    <row r="34" spans="1:23" ht="15" thickTop="1" x14ac:dyDescent="0.3">
      <c r="A34" s="201" t="s">
        <v>107</v>
      </c>
      <c r="B34" s="203"/>
      <c r="C34" s="264">
        <f>X14+Y28</f>
        <v>122.92766217115465</v>
      </c>
      <c r="D34" s="264"/>
      <c r="E34" s="267" t="s">
        <v>16</v>
      </c>
      <c r="J34" s="90"/>
      <c r="K34" s="98"/>
      <c r="L34" s="317" t="s">
        <v>129</v>
      </c>
      <c r="M34" s="317"/>
      <c r="N34" s="317"/>
      <c r="O34" s="317"/>
      <c r="P34" s="317"/>
      <c r="Q34" s="317"/>
      <c r="R34" s="317"/>
      <c r="S34" s="317"/>
      <c r="T34" s="317"/>
      <c r="U34" s="317"/>
      <c r="V34" s="317"/>
      <c r="W34" s="318"/>
    </row>
    <row r="35" spans="1:23" x14ac:dyDescent="0.3">
      <c r="A35" s="204"/>
      <c r="B35" s="206"/>
      <c r="C35" s="265"/>
      <c r="D35" s="265"/>
      <c r="E35" s="268"/>
      <c r="J35" s="90"/>
      <c r="K35" s="98"/>
      <c r="L35" s="92" t="s">
        <v>27</v>
      </c>
      <c r="M35" s="317" t="s">
        <v>124</v>
      </c>
      <c r="N35" s="317"/>
      <c r="O35" s="317"/>
      <c r="P35" s="317"/>
      <c r="Q35" s="317"/>
      <c r="R35" s="93"/>
      <c r="S35" s="93"/>
      <c r="T35" s="93"/>
      <c r="U35" s="93"/>
      <c r="V35" s="93"/>
      <c r="W35" s="94"/>
    </row>
    <row r="36" spans="1:23" x14ac:dyDescent="0.3">
      <c r="A36" s="204"/>
      <c r="B36" s="206"/>
      <c r="C36" s="265"/>
      <c r="D36" s="265"/>
      <c r="E36" s="268"/>
      <c r="J36" s="90"/>
      <c r="K36" s="98"/>
      <c r="L36" s="92" t="s">
        <v>27</v>
      </c>
      <c r="M36" s="317" t="s">
        <v>64</v>
      </c>
      <c r="N36" s="317"/>
      <c r="O36" s="317"/>
      <c r="P36" s="317"/>
      <c r="Q36" s="317"/>
      <c r="R36" s="93"/>
      <c r="S36" s="93"/>
      <c r="T36" s="93"/>
      <c r="U36" s="93"/>
      <c r="V36" s="93"/>
      <c r="W36" s="94"/>
    </row>
    <row r="37" spans="1:23" ht="15" thickBot="1" x14ac:dyDescent="0.35">
      <c r="A37" s="207"/>
      <c r="B37" s="209"/>
      <c r="C37" s="266"/>
      <c r="D37" s="266"/>
      <c r="E37" s="269"/>
      <c r="J37" s="91"/>
      <c r="K37" s="97"/>
      <c r="L37" s="92" t="s">
        <v>27</v>
      </c>
      <c r="M37" s="317" t="s">
        <v>125</v>
      </c>
      <c r="N37" s="317"/>
      <c r="O37" s="317"/>
      <c r="P37" s="317"/>
      <c r="Q37" s="317"/>
      <c r="R37" s="95"/>
      <c r="S37" s="95"/>
      <c r="T37" s="95"/>
      <c r="U37" s="95"/>
      <c r="V37" s="95"/>
      <c r="W37" s="96"/>
    </row>
    <row r="38" spans="1:23" ht="15" thickTop="1" x14ac:dyDescent="0.3">
      <c r="J38" s="90"/>
      <c r="K38" s="98"/>
      <c r="L38" s="92" t="s">
        <v>27</v>
      </c>
      <c r="M38" s="317" t="s">
        <v>126</v>
      </c>
      <c r="N38" s="317"/>
      <c r="O38" s="317"/>
      <c r="P38" s="317"/>
      <c r="Q38" s="317"/>
      <c r="R38" s="93"/>
      <c r="S38" s="93"/>
      <c r="T38" s="93"/>
      <c r="U38" s="93"/>
      <c r="V38" s="93"/>
      <c r="W38" s="94"/>
    </row>
    <row r="39" spans="1:23" x14ac:dyDescent="0.3">
      <c r="J39" s="90"/>
      <c r="K39" s="98"/>
      <c r="L39" s="92" t="s">
        <v>27</v>
      </c>
      <c r="M39" s="317" t="s">
        <v>127</v>
      </c>
      <c r="N39" s="317"/>
      <c r="O39" s="317"/>
      <c r="P39" s="317"/>
      <c r="Q39" s="317"/>
      <c r="R39" s="93"/>
      <c r="S39" s="93"/>
      <c r="T39" s="93"/>
      <c r="U39" s="93"/>
      <c r="V39" s="93"/>
      <c r="W39" s="94"/>
    </row>
    <row r="40" spans="1:23" x14ac:dyDescent="0.3">
      <c r="J40" s="90"/>
      <c r="K40" s="98"/>
      <c r="L40" s="92" t="s">
        <v>27</v>
      </c>
      <c r="M40" s="317" t="s">
        <v>128</v>
      </c>
      <c r="N40" s="317"/>
      <c r="O40" s="317"/>
      <c r="P40" s="317"/>
      <c r="Q40" s="317"/>
      <c r="R40" s="93"/>
      <c r="S40" s="93"/>
      <c r="T40" s="93"/>
      <c r="U40" s="93"/>
      <c r="V40" s="93"/>
      <c r="W40" s="94"/>
    </row>
    <row r="41" spans="1:23" x14ac:dyDescent="0.3">
      <c r="J41" s="90"/>
      <c r="K41" s="101" t="s">
        <v>66</v>
      </c>
      <c r="L41" s="322" t="s">
        <v>131</v>
      </c>
      <c r="M41" s="322"/>
      <c r="N41" s="322"/>
      <c r="O41" s="322"/>
      <c r="P41" s="322"/>
      <c r="Q41" s="322"/>
      <c r="R41" s="322"/>
      <c r="S41" s="322"/>
      <c r="T41" s="322"/>
      <c r="U41" s="322"/>
      <c r="V41" s="322"/>
      <c r="W41" s="323"/>
    </row>
    <row r="42" spans="1:23" x14ac:dyDescent="0.3">
      <c r="J42" s="90"/>
      <c r="K42" s="101" t="s">
        <v>111</v>
      </c>
      <c r="L42" s="324" t="s">
        <v>132</v>
      </c>
      <c r="M42" s="322"/>
      <c r="N42" s="322"/>
      <c r="O42" s="322"/>
      <c r="P42" s="322"/>
      <c r="Q42" s="322"/>
      <c r="R42" s="322"/>
      <c r="S42" s="322"/>
      <c r="T42" s="322"/>
      <c r="U42" s="322"/>
      <c r="V42" s="322"/>
      <c r="W42" s="323"/>
    </row>
    <row r="43" spans="1:23" x14ac:dyDescent="0.3">
      <c r="J43" s="90"/>
      <c r="K43" s="101" t="s">
        <v>64</v>
      </c>
      <c r="L43" s="324" t="s">
        <v>133</v>
      </c>
      <c r="M43" s="322"/>
      <c r="N43" s="322"/>
      <c r="O43" s="322"/>
      <c r="P43" s="322"/>
      <c r="Q43" s="322"/>
      <c r="R43" s="322"/>
      <c r="S43" s="322"/>
      <c r="T43" s="322"/>
      <c r="U43" s="322"/>
      <c r="V43" s="322"/>
      <c r="W43" s="323"/>
    </row>
    <row r="44" spans="1:23" x14ac:dyDescent="0.3">
      <c r="K44" s="97" t="s">
        <v>112</v>
      </c>
      <c r="L44" s="317" t="s">
        <v>117</v>
      </c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8"/>
    </row>
    <row r="45" spans="1:23" x14ac:dyDescent="0.3">
      <c r="K45" s="97"/>
      <c r="L45" s="92" t="s">
        <v>27</v>
      </c>
      <c r="M45" s="317" t="s">
        <v>118</v>
      </c>
      <c r="N45" s="317"/>
      <c r="O45" s="317"/>
      <c r="P45" s="317"/>
      <c r="Q45" s="317"/>
      <c r="R45" s="317"/>
      <c r="S45" s="317"/>
      <c r="T45" s="317"/>
      <c r="U45" s="317"/>
      <c r="V45" s="317"/>
      <c r="W45" s="318"/>
    </row>
    <row r="46" spans="1:23" x14ac:dyDescent="0.3">
      <c r="K46" s="97"/>
      <c r="L46" s="92" t="s">
        <v>27</v>
      </c>
      <c r="M46" s="317" t="s">
        <v>119</v>
      </c>
      <c r="N46" s="317"/>
      <c r="O46" s="317"/>
      <c r="P46" s="317"/>
      <c r="Q46" s="317"/>
      <c r="R46" s="317"/>
      <c r="S46" s="317"/>
      <c r="T46" s="317"/>
      <c r="U46" s="317"/>
      <c r="V46" s="317"/>
      <c r="W46" s="318"/>
    </row>
    <row r="47" spans="1:23" x14ac:dyDescent="0.3">
      <c r="K47" s="97"/>
      <c r="L47" s="92" t="s">
        <v>27</v>
      </c>
      <c r="M47" s="317" t="s">
        <v>120</v>
      </c>
      <c r="N47" s="317"/>
      <c r="O47" s="317"/>
      <c r="P47" s="317"/>
      <c r="Q47" s="317"/>
      <c r="R47" s="317"/>
      <c r="S47" s="317"/>
      <c r="T47" s="317"/>
      <c r="U47" s="317"/>
      <c r="V47" s="317"/>
      <c r="W47" s="318"/>
    </row>
    <row r="48" spans="1:23" x14ac:dyDescent="0.3">
      <c r="K48" s="97"/>
      <c r="L48" s="92" t="s">
        <v>27</v>
      </c>
      <c r="M48" s="317" t="s">
        <v>121</v>
      </c>
      <c r="N48" s="317"/>
      <c r="O48" s="317"/>
      <c r="P48" s="317"/>
      <c r="Q48" s="317"/>
      <c r="R48" s="317"/>
      <c r="S48" s="317"/>
      <c r="T48" s="317"/>
      <c r="U48" s="317"/>
      <c r="V48" s="317"/>
      <c r="W48" s="318"/>
    </row>
    <row r="49" spans="11:23" x14ac:dyDescent="0.3">
      <c r="K49" s="97"/>
      <c r="L49" s="92" t="s">
        <v>27</v>
      </c>
      <c r="M49" s="317" t="s">
        <v>122</v>
      </c>
      <c r="N49" s="317"/>
      <c r="O49" s="317"/>
      <c r="P49" s="317"/>
      <c r="Q49" s="317"/>
      <c r="R49" s="317"/>
      <c r="S49" s="317"/>
      <c r="T49" s="317"/>
      <c r="U49" s="317"/>
      <c r="V49" s="317"/>
      <c r="W49" s="318"/>
    </row>
    <row r="50" spans="11:23" x14ac:dyDescent="0.3">
      <c r="K50" s="97"/>
      <c r="L50" s="92" t="s">
        <v>27</v>
      </c>
      <c r="M50" s="317" t="s">
        <v>123</v>
      </c>
      <c r="N50" s="317"/>
      <c r="O50" s="317"/>
      <c r="P50" s="317"/>
      <c r="Q50" s="317"/>
      <c r="R50" s="317"/>
      <c r="S50" s="317"/>
      <c r="T50" s="317"/>
      <c r="U50" s="317"/>
      <c r="V50" s="317"/>
      <c r="W50" s="318"/>
    </row>
    <row r="51" spans="11:23" x14ac:dyDescent="0.3">
      <c r="K51" s="171" t="s">
        <v>113</v>
      </c>
      <c r="L51" s="319" t="s">
        <v>116</v>
      </c>
      <c r="M51" s="320"/>
      <c r="N51" s="320"/>
      <c r="O51" s="320"/>
      <c r="P51" s="320"/>
      <c r="Q51" s="320"/>
      <c r="R51" s="320"/>
      <c r="S51" s="320"/>
      <c r="T51" s="320"/>
      <c r="U51" s="320"/>
      <c r="V51" s="320"/>
      <c r="W51" s="321"/>
    </row>
    <row r="52" spans="11:23" ht="15" thickBot="1" x14ac:dyDescent="0.35">
      <c r="K52" s="99" t="s">
        <v>114</v>
      </c>
      <c r="L52" s="325" t="s">
        <v>115</v>
      </c>
      <c r="M52" s="326"/>
      <c r="N52" s="326"/>
      <c r="O52" s="326"/>
      <c r="P52" s="326"/>
      <c r="Q52" s="326"/>
      <c r="R52" s="326"/>
      <c r="S52" s="326"/>
      <c r="T52" s="326"/>
      <c r="U52" s="326"/>
      <c r="V52" s="326"/>
      <c r="W52" s="327"/>
    </row>
  </sheetData>
  <mergeCells count="70">
    <mergeCell ref="Y28:Y30"/>
    <mergeCell ref="S28:S30"/>
    <mergeCell ref="T28:T30"/>
    <mergeCell ref="U28:U30"/>
    <mergeCell ref="V28:V30"/>
    <mergeCell ref="W28:W30"/>
    <mergeCell ref="L52:W52"/>
    <mergeCell ref="L34:W34"/>
    <mergeCell ref="M35:Q35"/>
    <mergeCell ref="M36:Q36"/>
    <mergeCell ref="M37:Q37"/>
    <mergeCell ref="M38:Q38"/>
    <mergeCell ref="M39:Q39"/>
    <mergeCell ref="L33:W33"/>
    <mergeCell ref="L44:W44"/>
    <mergeCell ref="L51:W51"/>
    <mergeCell ref="M40:Q40"/>
    <mergeCell ref="L41:W41"/>
    <mergeCell ref="L42:W42"/>
    <mergeCell ref="L43:W43"/>
    <mergeCell ref="M45:W45"/>
    <mergeCell ref="M46:W46"/>
    <mergeCell ref="M47:W47"/>
    <mergeCell ref="M48:W48"/>
    <mergeCell ref="M49:W49"/>
    <mergeCell ref="M50:W50"/>
    <mergeCell ref="A1:X1"/>
    <mergeCell ref="A12:B14"/>
    <mergeCell ref="A32:B32"/>
    <mergeCell ref="C32:D32"/>
    <mergeCell ref="L12:P12"/>
    <mergeCell ref="L13:P13"/>
    <mergeCell ref="A2:X2"/>
    <mergeCell ref="A4:I4"/>
    <mergeCell ref="K5:X5"/>
    <mergeCell ref="K32:W32"/>
    <mergeCell ref="R16:S16"/>
    <mergeCell ref="K4:X4"/>
    <mergeCell ref="B10:F10"/>
    <mergeCell ref="K6:N6"/>
    <mergeCell ref="A17:F17"/>
    <mergeCell ref="X28:X30"/>
    <mergeCell ref="A34:B37"/>
    <mergeCell ref="C34:D37"/>
    <mergeCell ref="E34:E37"/>
    <mergeCell ref="F21:F23"/>
    <mergeCell ref="G21:G23"/>
    <mergeCell ref="C21:C23"/>
    <mergeCell ref="D21:D23"/>
    <mergeCell ref="E21:E23"/>
    <mergeCell ref="A26:B30"/>
    <mergeCell ref="D28:D30"/>
    <mergeCell ref="E28:E30"/>
    <mergeCell ref="F28:F30"/>
    <mergeCell ref="G28:G30"/>
    <mergeCell ref="A21:B24"/>
    <mergeCell ref="K8:R9"/>
    <mergeCell ref="H21:H23"/>
    <mergeCell ref="R19:T20"/>
    <mergeCell ref="I28:I30"/>
    <mergeCell ref="J28:J30"/>
    <mergeCell ref="K28:K30"/>
    <mergeCell ref="L28:P30"/>
    <mergeCell ref="Q26:R26"/>
    <mergeCell ref="Q27:R27"/>
    <mergeCell ref="L26:P26"/>
    <mergeCell ref="L27:P27"/>
    <mergeCell ref="A18:J19"/>
    <mergeCell ref="J21:J24"/>
    <mergeCell ref="H28:H30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13</xdr:col>
                    <xdr:colOff>487680</xdr:colOff>
                    <xdr:row>13</xdr:row>
                    <xdr:rowOff>152400</xdr:rowOff>
                  </from>
                  <to>
                    <xdr:col>14</xdr:col>
                    <xdr:colOff>76200</xdr:colOff>
                    <xdr:row>14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13</xdr:col>
                    <xdr:colOff>487680</xdr:colOff>
                    <xdr:row>14</xdr:row>
                    <xdr:rowOff>160020</xdr:rowOff>
                  </from>
                  <to>
                    <xdr:col>14</xdr:col>
                    <xdr:colOff>76200</xdr:colOff>
                    <xdr:row>15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13</xdr:col>
                    <xdr:colOff>487680</xdr:colOff>
                    <xdr:row>15</xdr:row>
                    <xdr:rowOff>160020</xdr:rowOff>
                  </from>
                  <to>
                    <xdr:col>14</xdr:col>
                    <xdr:colOff>76200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13</xdr:col>
                    <xdr:colOff>487680</xdr:colOff>
                    <xdr:row>16</xdr:row>
                    <xdr:rowOff>160020</xdr:rowOff>
                  </from>
                  <to>
                    <xdr:col>14</xdr:col>
                    <xdr:colOff>76200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13</xdr:col>
                    <xdr:colOff>487680</xdr:colOff>
                    <xdr:row>17</xdr:row>
                    <xdr:rowOff>160020</xdr:rowOff>
                  </from>
                  <to>
                    <xdr:col>14</xdr:col>
                    <xdr:colOff>76200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13</xdr:col>
                    <xdr:colOff>487680</xdr:colOff>
                    <xdr:row>18</xdr:row>
                    <xdr:rowOff>175260</xdr:rowOff>
                  </from>
                  <to>
                    <xdr:col>14</xdr:col>
                    <xdr:colOff>76200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13</xdr:col>
                    <xdr:colOff>487680</xdr:colOff>
                    <xdr:row>19</xdr:row>
                    <xdr:rowOff>175260</xdr:rowOff>
                  </from>
                  <to>
                    <xdr:col>14</xdr:col>
                    <xdr:colOff>76200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13</xdr:col>
                    <xdr:colOff>487680</xdr:colOff>
                    <xdr:row>20</xdr:row>
                    <xdr:rowOff>160020</xdr:rowOff>
                  </from>
                  <to>
                    <xdr:col>14</xdr:col>
                    <xdr:colOff>76200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13</xdr:col>
                    <xdr:colOff>487680</xdr:colOff>
                    <xdr:row>21</xdr:row>
                    <xdr:rowOff>160020</xdr:rowOff>
                  </from>
                  <to>
                    <xdr:col>14</xdr:col>
                    <xdr:colOff>76200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13</xdr:col>
                    <xdr:colOff>487680</xdr:colOff>
                    <xdr:row>22</xdr:row>
                    <xdr:rowOff>160020</xdr:rowOff>
                  </from>
                  <to>
                    <xdr:col>14</xdr:col>
                    <xdr:colOff>76200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Option Button 17">
              <controlPr defaultSize="0" autoFill="0" autoLine="0" autoPict="0">
                <anchor moveWithCells="1">
                  <from>
                    <xdr:col>16</xdr:col>
                    <xdr:colOff>960120</xdr:colOff>
                    <xdr:row>26</xdr:row>
                    <xdr:rowOff>182880</xdr:rowOff>
                  </from>
                  <to>
                    <xdr:col>17</xdr:col>
                    <xdr:colOff>38100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Option Button 18">
              <controlPr defaultSize="0" autoFill="0" autoLine="0" autoPict="0">
                <anchor moveWithCells="1">
                  <from>
                    <xdr:col>16</xdr:col>
                    <xdr:colOff>960120</xdr:colOff>
                    <xdr:row>28</xdr:row>
                    <xdr:rowOff>175260</xdr:rowOff>
                  </from>
                  <to>
                    <xdr:col>17</xdr:col>
                    <xdr:colOff>38100</xdr:colOff>
                    <xdr:row>30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13</xdr:col>
                    <xdr:colOff>487680</xdr:colOff>
                    <xdr:row>12</xdr:row>
                    <xdr:rowOff>160020</xdr:rowOff>
                  </from>
                  <to>
                    <xdr:col>14</xdr:col>
                    <xdr:colOff>76200</xdr:colOff>
                    <xdr:row>14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Φύλλο3"/>
  <dimension ref="A1:Y52"/>
  <sheetViews>
    <sheetView tabSelected="1" topLeftCell="A3" zoomScale="70" zoomScaleNormal="70" workbookViewId="0">
      <selection activeCell="U15" sqref="U15"/>
    </sheetView>
  </sheetViews>
  <sheetFormatPr defaultColWidth="8.88671875" defaultRowHeight="14.4" x14ac:dyDescent="0.3"/>
  <cols>
    <col min="1" max="1" width="8.88671875" style="1"/>
    <col min="2" max="2" width="9.6640625" style="1" customWidth="1"/>
    <col min="3" max="3" width="11.5546875" style="1" customWidth="1"/>
    <col min="4" max="4" width="14" style="1" customWidth="1"/>
    <col min="5" max="5" width="17" style="1" customWidth="1"/>
    <col min="6" max="6" width="13.5546875" style="1" customWidth="1"/>
    <col min="7" max="7" width="13.6640625" style="1" customWidth="1"/>
    <col min="8" max="8" width="15.6640625" style="1" customWidth="1"/>
    <col min="9" max="9" width="15.5546875" style="1" customWidth="1"/>
    <col min="10" max="11" width="17.33203125" style="1" customWidth="1"/>
    <col min="12" max="13" width="2.33203125" style="1" customWidth="1"/>
    <col min="14" max="14" width="9.6640625" style="1" customWidth="1"/>
    <col min="15" max="16" width="2.6640625" style="1" customWidth="1"/>
    <col min="17" max="17" width="17.33203125" style="1" customWidth="1"/>
    <col min="18" max="18" width="15.5546875" style="1" customWidth="1"/>
    <col min="19" max="19" width="13.88671875" style="1" customWidth="1"/>
    <col min="20" max="20" width="14.33203125" style="1" customWidth="1"/>
    <col min="21" max="21" width="13.33203125" style="1" customWidth="1"/>
    <col min="22" max="22" width="12.109375" style="1" customWidth="1"/>
    <col min="23" max="23" width="15.6640625" style="2" customWidth="1"/>
    <col min="24" max="24" width="12.33203125" style="1" customWidth="1"/>
    <col min="25" max="28" width="8.88671875" style="1"/>
    <col min="29" max="29" width="11.5546875" style="1" bestFit="1" customWidth="1"/>
    <col min="30" max="30" width="12.44140625" style="1" bestFit="1" customWidth="1"/>
    <col min="31" max="16384" width="8.88671875" style="1"/>
  </cols>
  <sheetData>
    <row r="1" spans="1:24" ht="46.5" customHeight="1" x14ac:dyDescent="0.3">
      <c r="A1" s="288" t="s">
        <v>47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</row>
    <row r="2" spans="1:24" ht="25.8" x14ac:dyDescent="0.3">
      <c r="A2" s="296" t="s">
        <v>134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</row>
    <row r="3" spans="1:24" ht="26.4" thickBot="1" x14ac:dyDescent="0.3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</row>
    <row r="4" spans="1:24" ht="31.5" customHeight="1" x14ac:dyDescent="0.3">
      <c r="A4" s="347" t="s">
        <v>23</v>
      </c>
      <c r="B4" s="348"/>
      <c r="C4" s="348"/>
      <c r="D4" s="348"/>
      <c r="E4" s="348"/>
      <c r="F4" s="348"/>
      <c r="G4" s="52"/>
      <c r="H4" s="53" t="s">
        <v>24</v>
      </c>
      <c r="I4" s="52"/>
      <c r="J4" s="54"/>
      <c r="K4" s="51"/>
      <c r="L4" s="351" t="s">
        <v>142</v>
      </c>
      <c r="M4" s="352"/>
      <c r="N4" s="352"/>
      <c r="O4" s="352"/>
      <c r="P4" s="352"/>
      <c r="Q4" s="352"/>
      <c r="R4" s="352"/>
      <c r="S4" s="352"/>
      <c r="T4" s="353"/>
      <c r="U4" s="51"/>
      <c r="V4" s="51"/>
      <c r="W4" s="51"/>
      <c r="X4" s="51"/>
    </row>
    <row r="5" spans="1:24" ht="15" thickBot="1" x14ac:dyDescent="0.35">
      <c r="A5" s="55" t="s">
        <v>20</v>
      </c>
      <c r="B5" s="346" t="s">
        <v>52</v>
      </c>
      <c r="C5" s="346"/>
      <c r="D5" s="346"/>
      <c r="E5" s="346"/>
      <c r="F5" s="346"/>
      <c r="G5" s="56"/>
      <c r="H5" s="56"/>
      <c r="I5" s="56"/>
      <c r="J5" s="57"/>
      <c r="L5" s="354"/>
      <c r="M5" s="355"/>
      <c r="N5" s="355"/>
      <c r="O5" s="355"/>
      <c r="P5" s="355"/>
      <c r="Q5" s="355"/>
      <c r="R5" s="355"/>
      <c r="S5" s="355"/>
      <c r="T5" s="356"/>
    </row>
    <row r="6" spans="1:24" x14ac:dyDescent="0.3">
      <c r="A6" s="55" t="s">
        <v>25</v>
      </c>
      <c r="B6" s="346" t="s">
        <v>53</v>
      </c>
      <c r="C6" s="346"/>
      <c r="D6" s="346"/>
      <c r="E6" s="346"/>
      <c r="F6" s="346"/>
      <c r="G6" s="56"/>
      <c r="H6" s="56"/>
      <c r="I6" s="56"/>
      <c r="J6" s="57"/>
    </row>
    <row r="7" spans="1:24" x14ac:dyDescent="0.3">
      <c r="A7" s="55" t="s">
        <v>26</v>
      </c>
      <c r="B7" s="346" t="s">
        <v>136</v>
      </c>
      <c r="C7" s="346"/>
      <c r="D7" s="346"/>
      <c r="E7" s="346"/>
      <c r="F7" s="346"/>
      <c r="G7" s="56"/>
      <c r="H7" s="56"/>
      <c r="I7" s="56"/>
      <c r="J7" s="57"/>
    </row>
    <row r="8" spans="1:24" x14ac:dyDescent="0.3">
      <c r="A8" s="55" t="s">
        <v>22</v>
      </c>
      <c r="B8" s="346" t="s">
        <v>54</v>
      </c>
      <c r="C8" s="346"/>
      <c r="D8" s="346"/>
      <c r="E8" s="346"/>
      <c r="F8" s="346"/>
      <c r="G8" s="56"/>
      <c r="H8" s="56"/>
      <c r="I8" s="56"/>
      <c r="J8" s="57"/>
    </row>
    <row r="9" spans="1:24" x14ac:dyDescent="0.3">
      <c r="A9" s="55"/>
      <c r="B9" s="58"/>
      <c r="C9" s="58"/>
      <c r="D9" s="58"/>
      <c r="E9" s="58"/>
      <c r="F9" s="58"/>
      <c r="G9" s="56"/>
      <c r="H9" s="56"/>
      <c r="I9" s="56"/>
      <c r="J9" s="57"/>
    </row>
    <row r="10" spans="1:24" ht="30" customHeight="1" thickBot="1" x14ac:dyDescent="0.35">
      <c r="A10" s="59" t="s">
        <v>55</v>
      </c>
      <c r="B10" s="60"/>
      <c r="C10" s="60"/>
      <c r="D10" s="60"/>
      <c r="E10" s="60"/>
      <c r="F10" s="60"/>
      <c r="G10" s="61"/>
      <c r="H10" s="61"/>
      <c r="I10" s="61"/>
      <c r="J10" s="62"/>
    </row>
    <row r="11" spans="1:24" ht="15" thickBot="1" x14ac:dyDescent="0.35"/>
    <row r="12" spans="1:24" ht="72" customHeight="1" thickTop="1" thickBot="1" x14ac:dyDescent="0.35">
      <c r="A12" s="279" t="s">
        <v>59</v>
      </c>
      <c r="B12" s="280"/>
      <c r="C12" s="162" t="s">
        <v>62</v>
      </c>
      <c r="D12" s="35" t="s">
        <v>63</v>
      </c>
      <c r="E12" s="35" t="s">
        <v>64</v>
      </c>
      <c r="F12" s="35" t="s">
        <v>65</v>
      </c>
      <c r="G12" s="163" t="s">
        <v>66</v>
      </c>
      <c r="H12" s="163" t="s">
        <v>138</v>
      </c>
      <c r="I12" s="10" t="s">
        <v>19</v>
      </c>
      <c r="J12" s="164" t="s">
        <v>67</v>
      </c>
      <c r="K12" s="164" t="s">
        <v>69</v>
      </c>
      <c r="L12" s="293" t="s">
        <v>68</v>
      </c>
      <c r="M12" s="294"/>
      <c r="N12" s="294"/>
      <c r="O12" s="294"/>
      <c r="P12" s="294"/>
      <c r="Q12" s="164" t="s">
        <v>70</v>
      </c>
      <c r="R12" s="8" t="s">
        <v>71</v>
      </c>
      <c r="S12" s="16" t="s">
        <v>72</v>
      </c>
      <c r="T12" s="165" t="s">
        <v>73</v>
      </c>
      <c r="U12" s="38" t="s">
        <v>75</v>
      </c>
      <c r="V12" s="102" t="s">
        <v>76</v>
      </c>
      <c r="W12" s="1"/>
    </row>
    <row r="13" spans="1:24" s="2" customFormat="1" ht="14.4" customHeight="1" thickTop="1" thickBot="1" x14ac:dyDescent="0.35">
      <c r="A13" s="281"/>
      <c r="B13" s="282"/>
      <c r="C13" s="32" t="s">
        <v>0</v>
      </c>
      <c r="D13" s="29" t="s">
        <v>1</v>
      </c>
      <c r="E13" s="29" t="s">
        <v>2</v>
      </c>
      <c r="F13" s="29" t="s">
        <v>3</v>
      </c>
      <c r="G13" s="11" t="s">
        <v>4</v>
      </c>
      <c r="H13" s="11" t="s">
        <v>5</v>
      </c>
      <c r="I13" s="11" t="s">
        <v>6</v>
      </c>
      <c r="J13" s="33" t="s">
        <v>7</v>
      </c>
      <c r="K13" s="33" t="s">
        <v>8</v>
      </c>
      <c r="L13" s="295" t="s">
        <v>9</v>
      </c>
      <c r="M13" s="295"/>
      <c r="N13" s="295"/>
      <c r="O13" s="295"/>
      <c r="P13" s="295"/>
      <c r="Q13" s="33" t="s">
        <v>10</v>
      </c>
      <c r="R13" s="9" t="s">
        <v>11</v>
      </c>
      <c r="S13" s="17" t="s">
        <v>12</v>
      </c>
      <c r="T13" s="63" t="s">
        <v>13</v>
      </c>
      <c r="U13" s="65" t="s">
        <v>14</v>
      </c>
      <c r="V13" s="103" t="s">
        <v>15</v>
      </c>
    </row>
    <row r="14" spans="1:24" ht="15.75" customHeight="1" thickBot="1" x14ac:dyDescent="0.35">
      <c r="A14" s="283"/>
      <c r="B14" s="284"/>
      <c r="C14" s="180">
        <v>0.05</v>
      </c>
      <c r="D14" s="189">
        <v>5</v>
      </c>
      <c r="E14" s="182">
        <v>80000</v>
      </c>
      <c r="F14" s="181">
        <v>2000</v>
      </c>
      <c r="G14" s="183">
        <v>300000</v>
      </c>
      <c r="H14" s="183">
        <v>2500</v>
      </c>
      <c r="I14" s="12">
        <f>G14+H14</f>
        <v>302500</v>
      </c>
      <c r="J14" s="184">
        <v>50000</v>
      </c>
      <c r="K14" s="185">
        <v>4000</v>
      </c>
      <c r="L14" s="21" t="str">
        <f>IF(M14=TRUE, "0", "0")</f>
        <v>0</v>
      </c>
      <c r="M14" s="191" t="b">
        <v>0</v>
      </c>
      <c r="N14" s="19">
        <v>0</v>
      </c>
      <c r="O14" s="24">
        <f>$J$14/((1+$C$14)^L14)</f>
        <v>50000</v>
      </c>
      <c r="P14" s="24">
        <f>IF(O14=$J$14, 0, O14)</f>
        <v>0</v>
      </c>
      <c r="Q14" s="13">
        <f>SUM(P14:P24)</f>
        <v>86486.597662496584</v>
      </c>
      <c r="R14" s="15">
        <f>I14-J14</f>
        <v>252500</v>
      </c>
      <c r="S14" s="18">
        <f>(R14-E14)/D14</f>
        <v>34500</v>
      </c>
      <c r="T14" s="64">
        <f>(R14*(D14+1)+E14*(D14-1))/(2*D14)</f>
        <v>183500</v>
      </c>
      <c r="U14" s="66">
        <f>R14*(C14*((1+C14)^D14)/(((1+C14)^D14)-1))-E14*(C14/((1+C14)^D14-1))</f>
        <v>43843.152677126243</v>
      </c>
      <c r="V14" s="104">
        <f>U14/F14</f>
        <v>21.921576338563121</v>
      </c>
      <c r="W14" s="1"/>
    </row>
    <row r="15" spans="1:24" ht="15.6" thickTop="1" thickBot="1" x14ac:dyDescent="0.35">
      <c r="A15" s="2"/>
      <c r="B15" s="2"/>
      <c r="C15" s="4"/>
      <c r="D15" s="3"/>
      <c r="E15" s="5"/>
      <c r="F15" s="3"/>
      <c r="G15" s="5"/>
      <c r="H15" s="5"/>
      <c r="I15" s="5"/>
      <c r="J15" s="5"/>
      <c r="K15" s="3"/>
      <c r="L15" s="22" t="str">
        <f>IF(M15=TRUE, "1", "0")</f>
        <v>0</v>
      </c>
      <c r="M15" s="191" t="b">
        <v>0</v>
      </c>
      <c r="N15" s="19">
        <v>1</v>
      </c>
      <c r="O15" s="24">
        <f t="shared" ref="O15:O24" si="0">$J$14/((1+$C$14)^L15)</f>
        <v>50000</v>
      </c>
      <c r="P15" s="25">
        <f t="shared" ref="P15:P24" si="1">IF(O15=$J$14, 0, O15)</f>
        <v>0</v>
      </c>
      <c r="Q15" s="3"/>
      <c r="R15" s="5"/>
      <c r="S15" s="5"/>
      <c r="T15" s="5"/>
      <c r="U15" s="4"/>
      <c r="V15" s="5"/>
      <c r="W15" s="37"/>
      <c r="X15" s="5"/>
    </row>
    <row r="16" spans="1:24" ht="15.75" customHeight="1" thickBot="1" x14ac:dyDescent="0.35">
      <c r="A16" s="2"/>
      <c r="B16" s="2"/>
      <c r="C16" s="4"/>
      <c r="D16" s="3"/>
      <c r="E16" s="5"/>
      <c r="F16" s="3"/>
      <c r="G16" s="5"/>
      <c r="H16" s="5"/>
      <c r="I16" s="5"/>
      <c r="J16" s="5"/>
      <c r="K16" s="3"/>
      <c r="L16" s="22" t="str">
        <f>IF(M16=TRUE, "2", "0")</f>
        <v>2</v>
      </c>
      <c r="M16" s="191" t="b">
        <v>1</v>
      </c>
      <c r="N16" s="19">
        <v>2</v>
      </c>
      <c r="O16" s="24">
        <f t="shared" si="0"/>
        <v>45351.473922902493</v>
      </c>
      <c r="P16" s="25">
        <f t="shared" si="1"/>
        <v>45351.473922902493</v>
      </c>
      <c r="Q16" s="3"/>
      <c r="R16" s="306" t="s">
        <v>77</v>
      </c>
      <c r="S16" s="307"/>
      <c r="T16" s="112">
        <f>ROUNDDOWN(D14/(K14/F14),0)</f>
        <v>2</v>
      </c>
      <c r="U16" s="106" t="s">
        <v>78</v>
      </c>
      <c r="V16" s="107" t="s">
        <v>79</v>
      </c>
      <c r="W16" s="112">
        <f>ROUNDDOWN(K14/F14,0)</f>
        <v>2</v>
      </c>
      <c r="X16" s="108" t="s">
        <v>80</v>
      </c>
    </row>
    <row r="17" spans="1:25" ht="15.75" customHeight="1" thickBot="1" x14ac:dyDescent="0.35">
      <c r="A17" s="310" t="s">
        <v>83</v>
      </c>
      <c r="B17" s="311"/>
      <c r="C17" s="311"/>
      <c r="D17" s="311"/>
      <c r="E17" s="311"/>
      <c r="F17" s="311"/>
      <c r="G17" s="67"/>
      <c r="H17" s="67"/>
      <c r="I17" s="67"/>
      <c r="J17" s="68"/>
      <c r="K17" s="3"/>
      <c r="L17" s="22" t="str">
        <f>IF(M17=TRUE, "3", "0")</f>
        <v>0</v>
      </c>
      <c r="M17" s="191" t="b">
        <v>0</v>
      </c>
      <c r="N17" s="19">
        <v>3</v>
      </c>
      <c r="O17" s="24">
        <f t="shared" si="0"/>
        <v>50000</v>
      </c>
      <c r="P17" s="25">
        <f t="shared" si="1"/>
        <v>0</v>
      </c>
      <c r="Q17" s="3"/>
      <c r="R17" s="70"/>
      <c r="S17" s="71"/>
      <c r="T17" s="109"/>
      <c r="U17" s="110"/>
      <c r="V17" s="109" t="s">
        <v>81</v>
      </c>
      <c r="W17" s="113">
        <f>D14</f>
        <v>5</v>
      </c>
      <c r="X17" s="111" t="s">
        <v>80</v>
      </c>
    </row>
    <row r="18" spans="1:25" ht="15" thickBot="1" x14ac:dyDescent="0.35">
      <c r="A18" s="252"/>
      <c r="B18" s="253"/>
      <c r="C18" s="253"/>
      <c r="D18" s="253"/>
      <c r="E18" s="253"/>
      <c r="F18" s="253"/>
      <c r="G18" s="253"/>
      <c r="H18" s="253"/>
      <c r="I18" s="253"/>
      <c r="J18" s="254"/>
      <c r="K18" s="3"/>
      <c r="L18" s="22" t="str">
        <f>IF(M18=TRUE, "4", "0")</f>
        <v>4</v>
      </c>
      <c r="M18" s="191" t="b">
        <v>1</v>
      </c>
      <c r="N18" s="19">
        <v>4</v>
      </c>
      <c r="O18" s="24">
        <f t="shared" si="0"/>
        <v>41135.123739594099</v>
      </c>
      <c r="P18" s="25">
        <f t="shared" si="1"/>
        <v>41135.123739594099</v>
      </c>
      <c r="Q18" s="3"/>
      <c r="R18" s="5"/>
      <c r="S18" s="5"/>
      <c r="W18" s="1"/>
    </row>
    <row r="19" spans="1:25" ht="15.75" customHeight="1" thickBot="1" x14ac:dyDescent="0.35">
      <c r="A19" s="255"/>
      <c r="B19" s="256"/>
      <c r="C19" s="256"/>
      <c r="D19" s="256"/>
      <c r="E19" s="256"/>
      <c r="F19" s="256"/>
      <c r="G19" s="256"/>
      <c r="H19" s="256"/>
      <c r="I19" s="256"/>
      <c r="J19" s="257"/>
      <c r="K19" s="36"/>
      <c r="L19" s="22" t="str">
        <f>IF(M19=TRUE, "5", "0")</f>
        <v>0</v>
      </c>
      <c r="M19" s="191" t="b">
        <v>0</v>
      </c>
      <c r="N19" s="19">
        <v>5</v>
      </c>
      <c r="O19" s="24">
        <f t="shared" si="0"/>
        <v>50000</v>
      </c>
      <c r="P19" s="25">
        <f t="shared" si="1"/>
        <v>0</v>
      </c>
      <c r="Q19" s="3"/>
      <c r="R19" s="227" t="s">
        <v>82</v>
      </c>
      <c r="S19" s="228"/>
      <c r="T19" s="349"/>
      <c r="U19" s="172"/>
      <c r="V19" s="172"/>
      <c r="W19" s="105"/>
      <c r="X19" s="105"/>
    </row>
    <row r="20" spans="1:25" ht="15" thickBot="1" x14ac:dyDescent="0.35">
      <c r="A20" s="69"/>
      <c r="B20" s="69"/>
      <c r="C20" s="69"/>
      <c r="D20" s="69"/>
      <c r="E20" s="69"/>
      <c r="F20" s="69"/>
      <c r="G20" s="69"/>
      <c r="H20" s="69"/>
      <c r="I20" s="69"/>
      <c r="J20" s="69"/>
      <c r="L20" s="22" t="str">
        <f>IF(M20=TRUE, "6", "0")</f>
        <v>0</v>
      </c>
      <c r="M20" s="191" t="b">
        <v>0</v>
      </c>
      <c r="N20" s="19">
        <v>6</v>
      </c>
      <c r="O20" s="24">
        <f t="shared" si="0"/>
        <v>50000</v>
      </c>
      <c r="P20" s="25">
        <f t="shared" si="1"/>
        <v>0</v>
      </c>
      <c r="R20" s="229"/>
      <c r="S20" s="230"/>
      <c r="T20" s="350"/>
      <c r="U20" s="172"/>
      <c r="V20" s="172"/>
      <c r="W20" s="105"/>
      <c r="X20" s="105"/>
    </row>
    <row r="21" spans="1:25" ht="15.75" customHeight="1" thickTop="1" x14ac:dyDescent="0.3">
      <c r="A21" s="279" t="s">
        <v>60</v>
      </c>
      <c r="B21" s="280"/>
      <c r="C21" s="276" t="s">
        <v>84</v>
      </c>
      <c r="D21" s="270" t="s">
        <v>85</v>
      </c>
      <c r="E21" s="270" t="s">
        <v>86</v>
      </c>
      <c r="F21" s="270" t="s">
        <v>87</v>
      </c>
      <c r="G21" s="273" t="s">
        <v>65</v>
      </c>
      <c r="H21" s="224" t="s">
        <v>88</v>
      </c>
      <c r="J21" s="258" t="s">
        <v>89</v>
      </c>
      <c r="L21" s="22" t="str">
        <f>IF(M21=TRUE, "7", "0")</f>
        <v>0</v>
      </c>
      <c r="M21" s="191" t="b">
        <v>0</v>
      </c>
      <c r="N21" s="19">
        <v>7</v>
      </c>
      <c r="O21" s="24">
        <f t="shared" si="0"/>
        <v>50000</v>
      </c>
      <c r="P21" s="25">
        <f t="shared" si="1"/>
        <v>0</v>
      </c>
    </row>
    <row r="22" spans="1:25" ht="15" customHeight="1" x14ac:dyDescent="0.3">
      <c r="A22" s="281"/>
      <c r="B22" s="282"/>
      <c r="C22" s="277"/>
      <c r="D22" s="271"/>
      <c r="E22" s="271"/>
      <c r="F22" s="271"/>
      <c r="G22" s="274"/>
      <c r="H22" s="225"/>
      <c r="J22" s="259"/>
      <c r="L22" s="22" t="str">
        <f>IF(M22=TRUE, "8", "0")</f>
        <v>0</v>
      </c>
      <c r="M22" s="191" t="b">
        <v>0</v>
      </c>
      <c r="N22" s="19">
        <v>8</v>
      </c>
      <c r="O22" s="24">
        <f t="shared" si="0"/>
        <v>50000</v>
      </c>
      <c r="P22" s="25">
        <f t="shared" si="1"/>
        <v>0</v>
      </c>
    </row>
    <row r="23" spans="1:25" ht="15.75" customHeight="1" thickBot="1" x14ac:dyDescent="0.35">
      <c r="A23" s="281"/>
      <c r="B23" s="282"/>
      <c r="C23" s="278"/>
      <c r="D23" s="272"/>
      <c r="E23" s="272"/>
      <c r="F23" s="272"/>
      <c r="G23" s="275"/>
      <c r="H23" s="226"/>
      <c r="J23" s="259"/>
      <c r="L23" s="22" t="str">
        <f>IF(M23=TRUE, "9", "0")</f>
        <v>0</v>
      </c>
      <c r="M23" s="191" t="b">
        <v>0</v>
      </c>
      <c r="N23" s="19">
        <v>9</v>
      </c>
      <c r="O23" s="24">
        <f t="shared" si="0"/>
        <v>50000</v>
      </c>
      <c r="P23" s="25">
        <f t="shared" si="1"/>
        <v>0</v>
      </c>
    </row>
    <row r="24" spans="1:25" ht="15.75" customHeight="1" thickBot="1" x14ac:dyDescent="0.35">
      <c r="A24" s="283"/>
      <c r="B24" s="284"/>
      <c r="C24" s="190">
        <v>5</v>
      </c>
      <c r="D24" s="74">
        <f>D14*(D14+1)/2</f>
        <v>15</v>
      </c>
      <c r="E24" s="73">
        <f>'Total Repair Cost Factor (Nunn)'!G22/100</f>
        <v>0.6</v>
      </c>
      <c r="F24" s="73">
        <f>E24*R14</f>
        <v>151500</v>
      </c>
      <c r="G24" s="73">
        <f>F14</f>
        <v>2000</v>
      </c>
      <c r="H24" s="75">
        <f>(C24/D24)*(F24/G24)</f>
        <v>25.25</v>
      </c>
      <c r="J24" s="260"/>
      <c r="L24" s="23" t="str">
        <f>IF(M24=TRUE, "10", "0")</f>
        <v>0</v>
      </c>
      <c r="M24" s="192" t="b">
        <v>0</v>
      </c>
      <c r="N24" s="20">
        <v>10</v>
      </c>
      <c r="O24" s="26">
        <f t="shared" si="0"/>
        <v>50000</v>
      </c>
      <c r="P24" s="27">
        <f t="shared" si="1"/>
        <v>0</v>
      </c>
    </row>
    <row r="25" spans="1:25" ht="15.6" thickTop="1" thickBot="1" x14ac:dyDescent="0.35"/>
    <row r="26" spans="1:25" s="2" customFormat="1" ht="82.2" customHeight="1" thickTop="1" thickBot="1" x14ac:dyDescent="0.35">
      <c r="A26" s="279" t="s">
        <v>61</v>
      </c>
      <c r="B26" s="280"/>
      <c r="C26" s="168" t="s">
        <v>46</v>
      </c>
      <c r="D26" s="169" t="s">
        <v>140</v>
      </c>
      <c r="E26" s="88" t="s">
        <v>92</v>
      </c>
      <c r="F26" s="168" t="s">
        <v>93</v>
      </c>
      <c r="G26" s="35" t="s">
        <v>94</v>
      </c>
      <c r="H26" s="35" t="s">
        <v>95</v>
      </c>
      <c r="I26" s="35" t="s">
        <v>96</v>
      </c>
      <c r="J26" s="28" t="s">
        <v>97</v>
      </c>
      <c r="K26" s="163" t="s">
        <v>139</v>
      </c>
      <c r="L26" s="247" t="s">
        <v>98</v>
      </c>
      <c r="M26" s="248"/>
      <c r="N26" s="248"/>
      <c r="O26" s="248"/>
      <c r="P26" s="248"/>
      <c r="Q26" s="243" t="s">
        <v>86</v>
      </c>
      <c r="R26" s="244"/>
      <c r="S26" s="170" t="s">
        <v>99</v>
      </c>
      <c r="T26" s="10" t="s">
        <v>100</v>
      </c>
      <c r="U26" s="164" t="s">
        <v>101</v>
      </c>
      <c r="V26" s="34" t="s">
        <v>102</v>
      </c>
      <c r="W26" s="84" t="s">
        <v>103</v>
      </c>
      <c r="X26" s="30" t="s">
        <v>104</v>
      </c>
      <c r="Y26" s="79" t="s">
        <v>105</v>
      </c>
    </row>
    <row r="27" spans="1:25" s="2" customFormat="1" ht="16.5" customHeight="1" thickTop="1" thickBot="1" x14ac:dyDescent="0.35">
      <c r="A27" s="281"/>
      <c r="B27" s="282"/>
      <c r="C27" s="86" t="s">
        <v>0</v>
      </c>
      <c r="D27" s="29" t="s">
        <v>1</v>
      </c>
      <c r="E27" s="89" t="s">
        <v>2</v>
      </c>
      <c r="F27" s="29" t="s">
        <v>2</v>
      </c>
      <c r="G27" s="29" t="s">
        <v>3</v>
      </c>
      <c r="H27" s="29" t="s">
        <v>4</v>
      </c>
      <c r="I27" s="29" t="s">
        <v>5</v>
      </c>
      <c r="J27" s="29" t="s">
        <v>6</v>
      </c>
      <c r="K27" s="11" t="s">
        <v>7</v>
      </c>
      <c r="L27" s="363" t="s">
        <v>8</v>
      </c>
      <c r="M27" s="364"/>
      <c r="N27" s="364"/>
      <c r="O27" s="364"/>
      <c r="P27" s="365"/>
      <c r="Q27" s="245" t="s">
        <v>10</v>
      </c>
      <c r="R27" s="246"/>
      <c r="S27" s="11" t="s">
        <v>9</v>
      </c>
      <c r="T27" s="11" t="s">
        <v>10</v>
      </c>
      <c r="U27" s="33" t="s">
        <v>11</v>
      </c>
      <c r="V27" s="33" t="s">
        <v>12</v>
      </c>
      <c r="W27" s="7" t="s">
        <v>13</v>
      </c>
      <c r="X27" s="31" t="s">
        <v>14</v>
      </c>
      <c r="Y27" s="87" t="s">
        <v>15</v>
      </c>
    </row>
    <row r="28" spans="1:25" s="3" customFormat="1" ht="15.75" customHeight="1" x14ac:dyDescent="0.3">
      <c r="A28" s="281"/>
      <c r="B28" s="282"/>
      <c r="C28" s="146" t="str">
        <f>IF('Total Repair Cost Factor (Nunn)'!D7=TRUE,'Total Repair Cost Factor (Nunn)'!D5," ")</f>
        <v xml:space="preserve"> </v>
      </c>
      <c r="D28" s="231">
        <v>0.6</v>
      </c>
      <c r="E28" s="285">
        <f>'Total Repair Cost Factor (Nunn)'!G22/100</f>
        <v>0.6</v>
      </c>
      <c r="F28" s="231">
        <v>170</v>
      </c>
      <c r="G28" s="231">
        <v>0.14799999999999999</v>
      </c>
      <c r="H28" s="261">
        <f>D28*F28*G28</f>
        <v>15.096</v>
      </c>
      <c r="I28" s="231">
        <v>1</v>
      </c>
      <c r="J28" s="234">
        <f>H28*I28</f>
        <v>15.096</v>
      </c>
      <c r="K28" s="237">
        <v>0.33</v>
      </c>
      <c r="L28" s="357">
        <f>J28*K28</f>
        <v>4.9816799999999999</v>
      </c>
      <c r="M28" s="357"/>
      <c r="N28" s="357"/>
      <c r="O28" s="357"/>
      <c r="P28" s="357"/>
      <c r="Q28" s="159" t="s">
        <v>90</v>
      </c>
      <c r="R28" s="188">
        <v>0.5</v>
      </c>
      <c r="S28" s="331">
        <f>IF(Q31=3,R28*S14,R30*S14)</f>
        <v>17250</v>
      </c>
      <c r="T28" s="334">
        <f>S28/F14</f>
        <v>8.625</v>
      </c>
      <c r="U28" s="340">
        <f>(J14+Q14)*C14*((1+C14)^D14)/(((1+C14)^D14)-1)</f>
        <v>31524.964342309293</v>
      </c>
      <c r="V28" s="340">
        <f>U28/F14</f>
        <v>15.762482171154646</v>
      </c>
      <c r="W28" s="360">
        <v>40</v>
      </c>
      <c r="X28" s="312">
        <f>J28+L28+T28+V28+W28</f>
        <v>84.465162171154645</v>
      </c>
      <c r="Y28" s="328">
        <f>J28+L28+H24+V28+W28</f>
        <v>101.09016217115465</v>
      </c>
    </row>
    <row r="29" spans="1:25" s="3" customFormat="1" ht="15" customHeight="1" x14ac:dyDescent="0.3">
      <c r="A29" s="281"/>
      <c r="B29" s="282"/>
      <c r="C29" s="147" t="str">
        <f>IF('Total Repair Cost Factor (Nunn)'!E7=TRUE,'Total Repair Cost Factor (Nunn)'!E5," ")</f>
        <v xml:space="preserve"> </v>
      </c>
      <c r="D29" s="232"/>
      <c r="E29" s="286"/>
      <c r="F29" s="232"/>
      <c r="G29" s="232"/>
      <c r="H29" s="262"/>
      <c r="I29" s="232"/>
      <c r="J29" s="235"/>
      <c r="K29" s="238"/>
      <c r="L29" s="358"/>
      <c r="M29" s="358"/>
      <c r="N29" s="358"/>
      <c r="O29" s="358"/>
      <c r="P29" s="358"/>
      <c r="Q29" s="157"/>
      <c r="R29" s="158"/>
      <c r="S29" s="332"/>
      <c r="T29" s="335"/>
      <c r="U29" s="341"/>
      <c r="V29" s="341"/>
      <c r="W29" s="361"/>
      <c r="X29" s="313"/>
      <c r="Y29" s="329"/>
    </row>
    <row r="30" spans="1:25" s="3" customFormat="1" ht="15.75" customHeight="1" thickBot="1" x14ac:dyDescent="0.35">
      <c r="A30" s="283"/>
      <c r="B30" s="284"/>
      <c r="C30" s="148" t="str">
        <f>IF('Total Repair Cost Factor (Nunn)'!F7=TRUE,'Total Repair Cost Factor (Nunn)'!F5," ")</f>
        <v xml:space="preserve"> </v>
      </c>
      <c r="D30" s="233"/>
      <c r="E30" s="287"/>
      <c r="F30" s="233"/>
      <c r="G30" s="233"/>
      <c r="H30" s="263"/>
      <c r="I30" s="233"/>
      <c r="J30" s="236"/>
      <c r="K30" s="239"/>
      <c r="L30" s="359"/>
      <c r="M30" s="359"/>
      <c r="N30" s="359"/>
      <c r="O30" s="359"/>
      <c r="P30" s="359"/>
      <c r="Q30" s="160" t="s">
        <v>91</v>
      </c>
      <c r="R30" s="161" t="str">
        <f>IF(Q31=2,E24," ")</f>
        <v xml:space="preserve"> </v>
      </c>
      <c r="S30" s="333"/>
      <c r="T30" s="336"/>
      <c r="U30" s="342"/>
      <c r="V30" s="342"/>
      <c r="W30" s="362"/>
      <c r="X30" s="314"/>
      <c r="Y30" s="330"/>
    </row>
    <row r="31" spans="1:25" ht="15.6" customHeight="1" thickTop="1" thickBot="1" x14ac:dyDescent="0.35">
      <c r="Q31" s="193">
        <v>3</v>
      </c>
    </row>
    <row r="32" spans="1:25" ht="72" customHeight="1" thickTop="1" thickBot="1" x14ac:dyDescent="0.45">
      <c r="A32" s="289" t="s">
        <v>106</v>
      </c>
      <c r="B32" s="290"/>
      <c r="C32" s="291">
        <f>V14+X28</f>
        <v>106.38673850971776</v>
      </c>
      <c r="D32" s="292"/>
      <c r="E32" s="6" t="s">
        <v>16</v>
      </c>
      <c r="K32" s="303" t="s">
        <v>109</v>
      </c>
      <c r="L32" s="304"/>
      <c r="M32" s="304"/>
      <c r="N32" s="304"/>
      <c r="O32" s="304"/>
      <c r="P32" s="304"/>
      <c r="Q32" s="304"/>
      <c r="R32" s="304"/>
      <c r="S32" s="304"/>
      <c r="T32" s="304"/>
      <c r="U32" s="304"/>
      <c r="V32" s="304"/>
      <c r="W32" s="305"/>
    </row>
    <row r="33" spans="1:23" ht="16.5" customHeight="1" thickTop="1" thickBot="1" x14ac:dyDescent="0.35">
      <c r="G33" s="82" t="s">
        <v>108</v>
      </c>
      <c r="H33" s="81">
        <f>(C34-C32)/C32</f>
        <v>0.15626947712549163</v>
      </c>
      <c r="K33" s="100" t="s">
        <v>110</v>
      </c>
      <c r="L33" s="315" t="s">
        <v>130</v>
      </c>
      <c r="M33" s="315"/>
      <c r="N33" s="315"/>
      <c r="O33" s="315"/>
      <c r="P33" s="315"/>
      <c r="Q33" s="315"/>
      <c r="R33" s="315"/>
      <c r="S33" s="315"/>
      <c r="T33" s="315"/>
      <c r="U33" s="315"/>
      <c r="V33" s="315"/>
      <c r="W33" s="316"/>
    </row>
    <row r="34" spans="1:23" ht="15.75" customHeight="1" thickTop="1" x14ac:dyDescent="0.3">
      <c r="A34" s="201" t="s">
        <v>107</v>
      </c>
      <c r="B34" s="203"/>
      <c r="C34" s="264">
        <f>V14+Y28</f>
        <v>123.01173850971776</v>
      </c>
      <c r="D34" s="264"/>
      <c r="E34" s="267" t="s">
        <v>16</v>
      </c>
      <c r="K34" s="98"/>
      <c r="L34" s="317" t="s">
        <v>129</v>
      </c>
      <c r="M34" s="317"/>
      <c r="N34" s="317"/>
      <c r="O34" s="317"/>
      <c r="P34" s="317"/>
      <c r="Q34" s="317"/>
      <c r="R34" s="317"/>
      <c r="S34" s="317"/>
      <c r="T34" s="317"/>
      <c r="U34" s="317"/>
      <c r="V34" s="317"/>
      <c r="W34" s="318"/>
    </row>
    <row r="35" spans="1:23" ht="15" customHeight="1" x14ac:dyDescent="0.3">
      <c r="A35" s="204"/>
      <c r="B35" s="206"/>
      <c r="C35" s="265"/>
      <c r="D35" s="265"/>
      <c r="E35" s="268"/>
      <c r="K35" s="98"/>
      <c r="L35" s="92" t="s">
        <v>27</v>
      </c>
      <c r="M35" s="317" t="s">
        <v>124</v>
      </c>
      <c r="N35" s="317"/>
      <c r="O35" s="317"/>
      <c r="P35" s="317"/>
      <c r="Q35" s="317"/>
      <c r="R35" s="93"/>
      <c r="S35" s="93"/>
      <c r="T35" s="93"/>
      <c r="U35" s="93"/>
      <c r="V35" s="93"/>
      <c r="W35" s="94"/>
    </row>
    <row r="36" spans="1:23" ht="15" customHeight="1" x14ac:dyDescent="0.3">
      <c r="A36" s="204"/>
      <c r="B36" s="206"/>
      <c r="C36" s="265"/>
      <c r="D36" s="265"/>
      <c r="E36" s="268"/>
      <c r="K36" s="98"/>
      <c r="L36" s="92" t="s">
        <v>27</v>
      </c>
      <c r="M36" s="317" t="s">
        <v>64</v>
      </c>
      <c r="N36" s="317"/>
      <c r="O36" s="317"/>
      <c r="P36" s="317"/>
      <c r="Q36" s="317"/>
      <c r="R36" s="93"/>
      <c r="S36" s="93"/>
      <c r="T36" s="93"/>
      <c r="U36" s="93"/>
      <c r="V36" s="93"/>
      <c r="W36" s="94"/>
    </row>
    <row r="37" spans="1:23" ht="15.75" customHeight="1" thickBot="1" x14ac:dyDescent="0.35">
      <c r="A37" s="207"/>
      <c r="B37" s="209"/>
      <c r="C37" s="266"/>
      <c r="D37" s="266"/>
      <c r="E37" s="269"/>
      <c r="K37" s="97"/>
      <c r="L37" s="92" t="s">
        <v>27</v>
      </c>
      <c r="M37" s="317" t="s">
        <v>125</v>
      </c>
      <c r="N37" s="317"/>
      <c r="O37" s="317"/>
      <c r="P37" s="317"/>
      <c r="Q37" s="317"/>
      <c r="R37" s="95"/>
      <c r="S37" s="95"/>
      <c r="T37" s="95"/>
      <c r="U37" s="95"/>
      <c r="V37" s="95"/>
      <c r="W37" s="96"/>
    </row>
    <row r="38" spans="1:23" ht="15.75" customHeight="1" thickTop="1" x14ac:dyDescent="0.3">
      <c r="K38" s="98"/>
      <c r="L38" s="92" t="s">
        <v>27</v>
      </c>
      <c r="M38" s="317" t="s">
        <v>126</v>
      </c>
      <c r="N38" s="317"/>
      <c r="O38" s="317"/>
      <c r="P38" s="317"/>
      <c r="Q38" s="317"/>
      <c r="R38" s="93"/>
      <c r="S38" s="93"/>
      <c r="T38" s="93"/>
      <c r="U38" s="93"/>
      <c r="V38" s="93"/>
      <c r="W38" s="94"/>
    </row>
    <row r="39" spans="1:23" ht="15" customHeight="1" x14ac:dyDescent="0.3">
      <c r="K39" s="98"/>
      <c r="L39" s="92" t="s">
        <v>27</v>
      </c>
      <c r="M39" s="317" t="s">
        <v>127</v>
      </c>
      <c r="N39" s="317"/>
      <c r="O39" s="317"/>
      <c r="P39" s="317"/>
      <c r="Q39" s="317"/>
      <c r="R39" s="93"/>
      <c r="S39" s="93"/>
      <c r="T39" s="93"/>
      <c r="U39" s="93"/>
      <c r="V39" s="93"/>
      <c r="W39" s="94"/>
    </row>
    <row r="40" spans="1:23" ht="15" customHeight="1" x14ac:dyDescent="0.3">
      <c r="K40" s="98"/>
      <c r="L40" s="92" t="s">
        <v>27</v>
      </c>
      <c r="M40" s="317" t="s">
        <v>128</v>
      </c>
      <c r="N40" s="317"/>
      <c r="O40" s="317"/>
      <c r="P40" s="317"/>
      <c r="Q40" s="317"/>
      <c r="R40" s="93"/>
      <c r="S40" s="93"/>
      <c r="T40" s="93"/>
      <c r="U40" s="93"/>
      <c r="V40" s="93"/>
      <c r="W40" s="94"/>
    </row>
    <row r="41" spans="1:23" ht="15" customHeight="1" x14ac:dyDescent="0.3">
      <c r="K41" s="101" t="s">
        <v>66</v>
      </c>
      <c r="L41" s="322" t="s">
        <v>131</v>
      </c>
      <c r="M41" s="322"/>
      <c r="N41" s="322"/>
      <c r="O41" s="322"/>
      <c r="P41" s="322"/>
      <c r="Q41" s="322"/>
      <c r="R41" s="322"/>
      <c r="S41" s="322"/>
      <c r="T41" s="322"/>
      <c r="U41" s="322"/>
      <c r="V41" s="322"/>
      <c r="W41" s="323"/>
    </row>
    <row r="42" spans="1:23" ht="15" customHeight="1" x14ac:dyDescent="0.3">
      <c r="K42" s="101" t="s">
        <v>111</v>
      </c>
      <c r="L42" s="324" t="s">
        <v>132</v>
      </c>
      <c r="M42" s="322"/>
      <c r="N42" s="322"/>
      <c r="O42" s="322"/>
      <c r="P42" s="322"/>
      <c r="Q42" s="322"/>
      <c r="R42" s="322"/>
      <c r="S42" s="322"/>
      <c r="T42" s="322"/>
      <c r="U42" s="322"/>
      <c r="V42" s="322"/>
      <c r="W42" s="323"/>
    </row>
    <row r="43" spans="1:23" ht="15" customHeight="1" x14ac:dyDescent="0.3">
      <c r="K43" s="101" t="s">
        <v>64</v>
      </c>
      <c r="L43" s="324" t="s">
        <v>133</v>
      </c>
      <c r="M43" s="322"/>
      <c r="N43" s="322"/>
      <c r="O43" s="322"/>
      <c r="P43" s="322"/>
      <c r="Q43" s="322"/>
      <c r="R43" s="322"/>
      <c r="S43" s="322"/>
      <c r="T43" s="322"/>
      <c r="U43" s="322"/>
      <c r="V43" s="322"/>
      <c r="W43" s="323"/>
    </row>
    <row r="44" spans="1:23" ht="15" customHeight="1" x14ac:dyDescent="0.3">
      <c r="K44" s="97" t="s">
        <v>112</v>
      </c>
      <c r="L44" s="317" t="s">
        <v>117</v>
      </c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8"/>
    </row>
    <row r="45" spans="1:23" ht="15" customHeight="1" x14ac:dyDescent="0.3">
      <c r="K45" s="97"/>
      <c r="L45" s="92" t="s">
        <v>27</v>
      </c>
      <c r="M45" s="317" t="s">
        <v>118</v>
      </c>
      <c r="N45" s="317"/>
      <c r="O45" s="317"/>
      <c r="P45" s="317"/>
      <c r="Q45" s="317"/>
      <c r="R45" s="317"/>
      <c r="S45" s="317"/>
      <c r="T45" s="317"/>
      <c r="U45" s="317"/>
      <c r="V45" s="317"/>
      <c r="W45" s="318"/>
    </row>
    <row r="46" spans="1:23" ht="15" customHeight="1" x14ac:dyDescent="0.3">
      <c r="K46" s="97"/>
      <c r="L46" s="92" t="s">
        <v>27</v>
      </c>
      <c r="M46" s="317" t="s">
        <v>119</v>
      </c>
      <c r="N46" s="317"/>
      <c r="O46" s="317"/>
      <c r="P46" s="317"/>
      <c r="Q46" s="317"/>
      <c r="R46" s="317"/>
      <c r="S46" s="317"/>
      <c r="T46" s="317"/>
      <c r="U46" s="317"/>
      <c r="V46" s="317"/>
      <c r="W46" s="318"/>
    </row>
    <row r="47" spans="1:23" ht="15" customHeight="1" x14ac:dyDescent="0.3">
      <c r="K47" s="97"/>
      <c r="L47" s="92" t="s">
        <v>27</v>
      </c>
      <c r="M47" s="317" t="s">
        <v>120</v>
      </c>
      <c r="N47" s="317"/>
      <c r="O47" s="317"/>
      <c r="P47" s="317"/>
      <c r="Q47" s="317"/>
      <c r="R47" s="317"/>
      <c r="S47" s="317"/>
      <c r="T47" s="317"/>
      <c r="U47" s="317"/>
      <c r="V47" s="317"/>
      <c r="W47" s="318"/>
    </row>
    <row r="48" spans="1:23" ht="15" customHeight="1" x14ac:dyDescent="0.3">
      <c r="K48" s="97"/>
      <c r="L48" s="92" t="s">
        <v>27</v>
      </c>
      <c r="M48" s="317" t="s">
        <v>121</v>
      </c>
      <c r="N48" s="317"/>
      <c r="O48" s="317"/>
      <c r="P48" s="317"/>
      <c r="Q48" s="317"/>
      <c r="R48" s="317"/>
      <c r="S48" s="317"/>
      <c r="T48" s="317"/>
      <c r="U48" s="317"/>
      <c r="V48" s="317"/>
      <c r="W48" s="318"/>
    </row>
    <row r="49" spans="11:23" ht="15" customHeight="1" x14ac:dyDescent="0.3">
      <c r="K49" s="97"/>
      <c r="L49" s="92" t="s">
        <v>27</v>
      </c>
      <c r="M49" s="317" t="s">
        <v>122</v>
      </c>
      <c r="N49" s="317"/>
      <c r="O49" s="317"/>
      <c r="P49" s="317"/>
      <c r="Q49" s="317"/>
      <c r="R49" s="317"/>
      <c r="S49" s="317"/>
      <c r="T49" s="317"/>
      <c r="U49" s="317"/>
      <c r="V49" s="317"/>
      <c r="W49" s="318"/>
    </row>
    <row r="50" spans="11:23" ht="15" customHeight="1" x14ac:dyDescent="0.3">
      <c r="K50" s="97"/>
      <c r="L50" s="92" t="s">
        <v>27</v>
      </c>
      <c r="M50" s="317" t="s">
        <v>123</v>
      </c>
      <c r="N50" s="317"/>
      <c r="O50" s="317"/>
      <c r="P50" s="317"/>
      <c r="Q50" s="317"/>
      <c r="R50" s="317"/>
      <c r="S50" s="317"/>
      <c r="T50" s="317"/>
      <c r="U50" s="317"/>
      <c r="V50" s="317"/>
      <c r="W50" s="318"/>
    </row>
    <row r="51" spans="11:23" ht="15" customHeight="1" x14ac:dyDescent="0.3">
      <c r="K51" s="171" t="s">
        <v>113</v>
      </c>
      <c r="L51" s="319" t="s">
        <v>116</v>
      </c>
      <c r="M51" s="320"/>
      <c r="N51" s="320"/>
      <c r="O51" s="320"/>
      <c r="P51" s="320"/>
      <c r="Q51" s="320"/>
      <c r="R51" s="320"/>
      <c r="S51" s="320"/>
      <c r="T51" s="320"/>
      <c r="U51" s="320"/>
      <c r="V51" s="320"/>
      <c r="W51" s="321"/>
    </row>
    <row r="52" spans="11:23" ht="15.75" customHeight="1" thickBot="1" x14ac:dyDescent="0.35">
      <c r="K52" s="99" t="s">
        <v>114</v>
      </c>
      <c r="L52" s="325" t="s">
        <v>115</v>
      </c>
      <c r="M52" s="326"/>
      <c r="N52" s="326"/>
      <c r="O52" s="326"/>
      <c r="P52" s="326"/>
      <c r="Q52" s="326"/>
      <c r="R52" s="326"/>
      <c r="S52" s="326"/>
      <c r="T52" s="326"/>
      <c r="U52" s="326"/>
      <c r="V52" s="326"/>
      <c r="W52" s="327"/>
    </row>
  </sheetData>
  <mergeCells count="70">
    <mergeCell ref="Q27:R27"/>
    <mergeCell ref="X28:X30"/>
    <mergeCell ref="Y28:Y30"/>
    <mergeCell ref="A26:B30"/>
    <mergeCell ref="S28:S30"/>
    <mergeCell ref="T28:T30"/>
    <mergeCell ref="U28:U30"/>
    <mergeCell ref="V28:V30"/>
    <mergeCell ref="W28:W30"/>
    <mergeCell ref="L26:P26"/>
    <mergeCell ref="L27:P27"/>
    <mergeCell ref="G28:G30"/>
    <mergeCell ref="H28:H30"/>
    <mergeCell ref="I28:I30"/>
    <mergeCell ref="J28:J30"/>
    <mergeCell ref="K28:K30"/>
    <mergeCell ref="L28:P30"/>
    <mergeCell ref="L52:W52"/>
    <mergeCell ref="R16:S16"/>
    <mergeCell ref="M47:W47"/>
    <mergeCell ref="M48:W48"/>
    <mergeCell ref="M49:W49"/>
    <mergeCell ref="M50:W50"/>
    <mergeCell ref="L51:W51"/>
    <mergeCell ref="L42:W42"/>
    <mergeCell ref="L43:W43"/>
    <mergeCell ref="L44:W44"/>
    <mergeCell ref="M45:W45"/>
    <mergeCell ref="M46:W46"/>
    <mergeCell ref="M37:Q37"/>
    <mergeCell ref="Q26:R26"/>
    <mergeCell ref="M38:Q38"/>
    <mergeCell ref="M39:Q39"/>
    <mergeCell ref="M40:Q40"/>
    <mergeCell ref="L41:W41"/>
    <mergeCell ref="K32:W32"/>
    <mergeCell ref="L33:W33"/>
    <mergeCell ref="L34:W34"/>
    <mergeCell ref="M35:Q35"/>
    <mergeCell ref="M36:Q36"/>
    <mergeCell ref="A1:X1"/>
    <mergeCell ref="A12:B14"/>
    <mergeCell ref="L12:P12"/>
    <mergeCell ref="L13:P13"/>
    <mergeCell ref="A17:F17"/>
    <mergeCell ref="A18:J19"/>
    <mergeCell ref="B7:F7"/>
    <mergeCell ref="C21:C23"/>
    <mergeCell ref="D21:D23"/>
    <mergeCell ref="A2:X2"/>
    <mergeCell ref="A4:F4"/>
    <mergeCell ref="B5:F5"/>
    <mergeCell ref="B6:F6"/>
    <mergeCell ref="B8:F8"/>
    <mergeCell ref="J21:J24"/>
    <mergeCell ref="G21:G23"/>
    <mergeCell ref="H21:H23"/>
    <mergeCell ref="R19:T20"/>
    <mergeCell ref="L4:T5"/>
    <mergeCell ref="A34:B37"/>
    <mergeCell ref="C34:D37"/>
    <mergeCell ref="E34:E37"/>
    <mergeCell ref="E21:E23"/>
    <mergeCell ref="F21:F23"/>
    <mergeCell ref="A32:B32"/>
    <mergeCell ref="C32:D32"/>
    <mergeCell ref="D28:D30"/>
    <mergeCell ref="E28:E30"/>
    <mergeCell ref="F28:F30"/>
    <mergeCell ref="A21:B24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13</xdr:col>
                    <xdr:colOff>487680</xdr:colOff>
                    <xdr:row>12</xdr:row>
                    <xdr:rowOff>175260</xdr:rowOff>
                  </from>
                  <to>
                    <xdr:col>14</xdr:col>
                    <xdr:colOff>60960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13</xdr:col>
                    <xdr:colOff>487680</xdr:colOff>
                    <xdr:row>13</xdr:row>
                    <xdr:rowOff>152400</xdr:rowOff>
                  </from>
                  <to>
                    <xdr:col>14</xdr:col>
                    <xdr:colOff>60960</xdr:colOff>
                    <xdr:row>14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13</xdr:col>
                    <xdr:colOff>487680</xdr:colOff>
                    <xdr:row>14</xdr:row>
                    <xdr:rowOff>160020</xdr:rowOff>
                  </from>
                  <to>
                    <xdr:col>14</xdr:col>
                    <xdr:colOff>60960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13</xdr:col>
                    <xdr:colOff>487680</xdr:colOff>
                    <xdr:row>15</xdr:row>
                    <xdr:rowOff>160020</xdr:rowOff>
                  </from>
                  <to>
                    <xdr:col>14</xdr:col>
                    <xdr:colOff>60960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13</xdr:col>
                    <xdr:colOff>487680</xdr:colOff>
                    <xdr:row>16</xdr:row>
                    <xdr:rowOff>160020</xdr:rowOff>
                  </from>
                  <to>
                    <xdr:col>14</xdr:col>
                    <xdr:colOff>60960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13</xdr:col>
                    <xdr:colOff>487680</xdr:colOff>
                    <xdr:row>17</xdr:row>
                    <xdr:rowOff>160020</xdr:rowOff>
                  </from>
                  <to>
                    <xdr:col>14</xdr:col>
                    <xdr:colOff>60960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13</xdr:col>
                    <xdr:colOff>487680</xdr:colOff>
                    <xdr:row>18</xdr:row>
                    <xdr:rowOff>175260</xdr:rowOff>
                  </from>
                  <to>
                    <xdr:col>14</xdr:col>
                    <xdr:colOff>60960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13</xdr:col>
                    <xdr:colOff>487680</xdr:colOff>
                    <xdr:row>19</xdr:row>
                    <xdr:rowOff>175260</xdr:rowOff>
                  </from>
                  <to>
                    <xdr:col>14</xdr:col>
                    <xdr:colOff>60960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13</xdr:col>
                    <xdr:colOff>487680</xdr:colOff>
                    <xdr:row>20</xdr:row>
                    <xdr:rowOff>160020</xdr:rowOff>
                  </from>
                  <to>
                    <xdr:col>14</xdr:col>
                    <xdr:colOff>60960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13</xdr:col>
                    <xdr:colOff>487680</xdr:colOff>
                    <xdr:row>21</xdr:row>
                    <xdr:rowOff>160020</xdr:rowOff>
                  </from>
                  <to>
                    <xdr:col>14</xdr:col>
                    <xdr:colOff>60960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13</xdr:col>
                    <xdr:colOff>487680</xdr:colOff>
                    <xdr:row>22</xdr:row>
                    <xdr:rowOff>160020</xdr:rowOff>
                  </from>
                  <to>
                    <xdr:col>14</xdr:col>
                    <xdr:colOff>60960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Option Button 12">
              <controlPr defaultSize="0" autoFill="0" autoLine="0" autoPict="0">
                <anchor moveWithCells="1">
                  <from>
                    <xdr:col>16</xdr:col>
                    <xdr:colOff>960120</xdr:colOff>
                    <xdr:row>26</xdr:row>
                    <xdr:rowOff>182880</xdr:rowOff>
                  </from>
                  <to>
                    <xdr:col>17</xdr:col>
                    <xdr:colOff>38100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Option Button 13">
              <controlPr defaultSize="0" autoFill="0" autoLine="0" autoPict="0">
                <anchor moveWithCells="1">
                  <from>
                    <xdr:col>16</xdr:col>
                    <xdr:colOff>960120</xdr:colOff>
                    <xdr:row>28</xdr:row>
                    <xdr:rowOff>175260</xdr:rowOff>
                  </from>
                  <to>
                    <xdr:col>17</xdr:col>
                    <xdr:colOff>38100</xdr:colOff>
                    <xdr:row>30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Option Button 14">
              <controlPr defaultSize="0" autoFill="0" autoLine="0" autoPict="0">
                <anchor moveWithCells="1">
                  <from>
                    <xdr:col>16</xdr:col>
                    <xdr:colOff>960120</xdr:colOff>
                    <xdr:row>26</xdr:row>
                    <xdr:rowOff>182880</xdr:rowOff>
                  </from>
                  <to>
                    <xdr:col>17</xdr:col>
                    <xdr:colOff>38100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Option Button 15">
              <controlPr defaultSize="0" autoFill="0" autoLine="0" autoPict="0">
                <anchor moveWithCells="1">
                  <from>
                    <xdr:col>16</xdr:col>
                    <xdr:colOff>960120</xdr:colOff>
                    <xdr:row>28</xdr:row>
                    <xdr:rowOff>175260</xdr:rowOff>
                  </from>
                  <to>
                    <xdr:col>17</xdr:col>
                    <xdr:colOff>38100</xdr:colOff>
                    <xdr:row>30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Total Repair Cost Factor (Nunn)</vt:lpstr>
      <vt:lpstr>HOURLY COST (1st METHOD)</vt:lpstr>
      <vt:lpstr>HOURLY COST (2nd METHOD)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Λαδόπουλος Ηλίας</dc:creator>
  <cp:lastModifiedBy>Kleopatra Petroutsatou</cp:lastModifiedBy>
  <dcterms:created xsi:type="dcterms:W3CDTF">2019-01-01T15:43:28Z</dcterms:created>
  <dcterms:modified xsi:type="dcterms:W3CDTF">2023-12-04T15:43:22Z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b180c5f7-f946-49c2-87cd-d74fbb79f611</vt:lpwstr>
  </property>
</Properties>
</file>